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WIP/Requests for Information/PUB/"/>
    </mc:Choice>
  </mc:AlternateContent>
  <xr:revisionPtr revIDLastSave="0" documentId="13_ncr:1_{1FCC881C-1E77-4CAB-A888-EACEDA3EEA49}" xr6:coauthVersionLast="36" xr6:coauthVersionMax="36" xr10:uidLastSave="{00000000-0000-0000-0000-000000000000}"/>
  <bookViews>
    <workbookView xWindow="0" yWindow="0" windowWidth="28800" windowHeight="12105" activeTab="1" xr2:uid="{6AC5EF39-24F1-4DAB-A05B-DAA8C5786810}"/>
  </bookViews>
  <sheets>
    <sheet name="+1% sales" sheetId="1" r:id="rId1"/>
    <sheet name="-1% sales" sheetId="2" r:id="rId2"/>
    <sheet name="+2% sales" sheetId="3" r:id="rId3"/>
    <sheet name="-2% sales" sheetId="4" r:id="rId4"/>
    <sheet name="-5% OPEX" sheetId="5" r:id="rId5"/>
    <sheet name="-10% OPEX" sheetId="6" r:id="rId6"/>
  </sheets>
  <definedNames>
    <definedName name="_xlnm.Print_Area" localSheetId="0">'+1% sales'!$A$1:$H$54</definedName>
    <definedName name="_xlnm.Print_Area" localSheetId="2">'+2% sales'!$A$2:$I$54</definedName>
    <definedName name="_xlnm.Print_Area" localSheetId="1">'-1% sales'!$A$2:$I$54</definedName>
    <definedName name="_xlnm.Print_Area" localSheetId="5">'-10% OPEX'!$A$2:$I$54</definedName>
    <definedName name="_xlnm.Print_Area" localSheetId="3">'-2% sales'!$A$2:$I$54</definedName>
    <definedName name="_xlnm.Print_Area" localSheetId="4">'-5% OPEX'!$A$2:$I$54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2" l="1"/>
  <c r="H48" i="2"/>
  <c r="D39" i="2"/>
  <c r="D27" i="2"/>
  <c r="H29" i="1"/>
  <c r="H37" i="1" l="1"/>
  <c r="D37" i="1"/>
  <c r="H37" i="6"/>
  <c r="D37" i="6"/>
  <c r="H34" i="6"/>
  <c r="D34" i="6"/>
  <c r="D31" i="6"/>
  <c r="H34" i="3"/>
  <c r="H32" i="3"/>
  <c r="D32" i="2"/>
  <c r="H32" i="2" s="1"/>
  <c r="H34" i="1"/>
  <c r="H31" i="1"/>
  <c r="F49" i="1" l="1"/>
  <c r="H32" i="5" l="1"/>
  <c r="H39" i="5"/>
  <c r="D39" i="5"/>
  <c r="D39" i="4"/>
  <c r="D39" i="3"/>
  <c r="D37" i="3"/>
  <c r="D37" i="5"/>
  <c r="D37" i="4"/>
  <c r="H37" i="5"/>
  <c r="D39" i="1"/>
  <c r="H39" i="1"/>
  <c r="D19" i="1"/>
  <c r="F49" i="5" l="1"/>
  <c r="H49" i="5" s="1"/>
  <c r="H48" i="5"/>
  <c r="F49" i="4"/>
  <c r="H49" i="4" s="1"/>
  <c r="H48" i="4"/>
  <c r="F49" i="3"/>
  <c r="H49" i="3" s="1"/>
  <c r="H48" i="3"/>
  <c r="H40" i="3" l="1"/>
  <c r="D50" i="6"/>
  <c r="D32" i="6"/>
  <c r="F29" i="6"/>
  <c r="D29" i="6"/>
  <c r="D28" i="6"/>
  <c r="H28" i="6" s="1"/>
  <c r="H27" i="6"/>
  <c r="H26" i="6"/>
  <c r="D25" i="6"/>
  <c r="H25" i="6" s="1"/>
  <c r="D24" i="6"/>
  <c r="H24" i="6" s="1"/>
  <c r="H21" i="6"/>
  <c r="F19" i="6"/>
  <c r="D18" i="6"/>
  <c r="H18" i="6" s="1"/>
  <c r="A18" i="6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D17" i="6"/>
  <c r="D50" i="5"/>
  <c r="D32" i="5"/>
  <c r="F29" i="5"/>
  <c r="D28" i="5"/>
  <c r="H28" i="5" s="1"/>
  <c r="H27" i="5"/>
  <c r="H26" i="5"/>
  <c r="H25" i="5"/>
  <c r="D25" i="5"/>
  <c r="D24" i="5"/>
  <c r="H24" i="5" s="1"/>
  <c r="H21" i="5"/>
  <c r="F19" i="5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D18" i="5"/>
  <c r="H18" i="5" s="1"/>
  <c r="A18" i="5"/>
  <c r="D17" i="5"/>
  <c r="D19" i="5" s="1"/>
  <c r="D50" i="4"/>
  <c r="D32" i="4"/>
  <c r="D28" i="4"/>
  <c r="H28" i="4" s="1"/>
  <c r="H27" i="4"/>
  <c r="F29" i="4"/>
  <c r="D25" i="4"/>
  <c r="H25" i="4" s="1"/>
  <c r="H24" i="4"/>
  <c r="H21" i="4"/>
  <c r="F19" i="4"/>
  <c r="D18" i="4"/>
  <c r="H18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H17" i="4"/>
  <c r="D17" i="4"/>
  <c r="D50" i="3"/>
  <c r="D32" i="3"/>
  <c r="D28" i="3"/>
  <c r="H28" i="3" s="1"/>
  <c r="H27" i="3"/>
  <c r="H26" i="3"/>
  <c r="F29" i="3"/>
  <c r="D25" i="3"/>
  <c r="H25" i="3" s="1"/>
  <c r="H24" i="3"/>
  <c r="H21" i="3"/>
  <c r="F19" i="3"/>
  <c r="D18" i="3"/>
  <c r="H18" i="3" s="1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H17" i="3"/>
  <c r="H19" i="3" s="1"/>
  <c r="D17" i="3"/>
  <c r="D19" i="3" s="1"/>
  <c r="D50" i="2"/>
  <c r="F29" i="2"/>
  <c r="D28" i="2"/>
  <c r="H28" i="2" s="1"/>
  <c r="H27" i="2"/>
  <c r="H26" i="2"/>
  <c r="H25" i="2"/>
  <c r="D25" i="2"/>
  <c r="D29" i="2" s="1"/>
  <c r="H29" i="2" s="1"/>
  <c r="H24" i="2"/>
  <c r="H21" i="2"/>
  <c r="F19" i="2"/>
  <c r="H18" i="2"/>
  <c r="D18" i="2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D17" i="2"/>
  <c r="H17" i="2" s="1"/>
  <c r="H19" i="2" s="1"/>
  <c r="D50" i="1"/>
  <c r="D32" i="1"/>
  <c r="D28" i="1"/>
  <c r="H28" i="1" s="1"/>
  <c r="H27" i="1"/>
  <c r="H26" i="1"/>
  <c r="D25" i="1"/>
  <c r="H24" i="1"/>
  <c r="H21" i="1"/>
  <c r="F19" i="1"/>
  <c r="D18" i="1"/>
  <c r="H1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D17" i="1"/>
  <c r="H17" i="1" s="1"/>
  <c r="F31" i="3" l="1"/>
  <c r="F32" i="3" s="1"/>
  <c r="F31" i="2"/>
  <c r="D29" i="5"/>
  <c r="H29" i="5" s="1"/>
  <c r="H19" i="4"/>
  <c r="D19" i="4"/>
  <c r="H19" i="1"/>
  <c r="D29" i="1"/>
  <c r="H25" i="1"/>
  <c r="F31" i="6"/>
  <c r="H29" i="6"/>
  <c r="D19" i="6"/>
  <c r="F31" i="4"/>
  <c r="D19" i="2"/>
  <c r="D31" i="2" s="1"/>
  <c r="D34" i="2" s="1"/>
  <c r="D29" i="3"/>
  <c r="H29" i="3" s="1"/>
  <c r="H26" i="4"/>
  <c r="H17" i="5"/>
  <c r="H19" i="5" s="1"/>
  <c r="H17" i="6"/>
  <c r="H19" i="6" s="1"/>
  <c r="F29" i="1"/>
  <c r="F31" i="1" s="1"/>
  <c r="D29" i="4"/>
  <c r="H29" i="4" s="1"/>
  <c r="H34" i="2" l="1"/>
  <c r="D39" i="6"/>
  <c r="D41" i="6" s="1"/>
  <c r="F32" i="6"/>
  <c r="H32" i="6" s="1"/>
  <c r="H31" i="4"/>
  <c r="F34" i="3"/>
  <c r="F32" i="2"/>
  <c r="D31" i="5"/>
  <c r="D31" i="4"/>
  <c r="D31" i="1"/>
  <c r="D34" i="1" s="1"/>
  <c r="H31" i="6"/>
  <c r="F32" i="1"/>
  <c r="F32" i="4"/>
  <c r="H31" i="2"/>
  <c r="D34" i="4"/>
  <c r="F48" i="6"/>
  <c r="D31" i="3"/>
  <c r="H48" i="6" l="1"/>
  <c r="F34" i="6"/>
  <c r="F34" i="4"/>
  <c r="H34" i="4" s="1"/>
  <c r="H32" i="4"/>
  <c r="F34" i="2"/>
  <c r="F34" i="1"/>
  <c r="H32" i="1"/>
  <c r="H31" i="5"/>
  <c r="D34" i="5"/>
  <c r="D41" i="5"/>
  <c r="F48" i="1"/>
  <c r="D34" i="3"/>
  <c r="H31" i="3"/>
  <c r="F48" i="4"/>
  <c r="F50" i="4" s="1"/>
  <c r="H50" i="4" s="1"/>
  <c r="F48" i="2"/>
  <c r="D41" i="2" s="1"/>
  <c r="H41" i="5"/>
  <c r="F49" i="6" l="1"/>
  <c r="H39" i="2"/>
  <c r="H41" i="2" s="1"/>
  <c r="H39" i="6"/>
  <c r="H41" i="6" s="1"/>
  <c r="H39" i="4"/>
  <c r="H37" i="4"/>
  <c r="H41" i="1"/>
  <c r="F48" i="5"/>
  <c r="F50" i="5" s="1"/>
  <c r="H50" i="5" s="1"/>
  <c r="H34" i="5"/>
  <c r="H48" i="1"/>
  <c r="D41" i="4"/>
  <c r="F48" i="3"/>
  <c r="F50" i="3" s="1"/>
  <c r="H50" i="3" s="1"/>
  <c r="H41" i="4"/>
  <c r="D41" i="1"/>
  <c r="D37" i="2" l="1"/>
  <c r="H37" i="2"/>
  <c r="H49" i="6"/>
  <c r="F50" i="6"/>
  <c r="H50" i="6" s="1"/>
  <c r="F49" i="2"/>
  <c r="H39" i="3"/>
  <c r="H41" i="3" s="1"/>
  <c r="H37" i="3"/>
  <c r="H49" i="1"/>
  <c r="D41" i="3"/>
  <c r="H49" i="2" l="1"/>
  <c r="F50" i="2"/>
  <c r="F50" i="1"/>
  <c r="H50" i="1" s="1"/>
</calcChain>
</file>

<file path=xl/sharedStrings.xml><?xml version="1.0" encoding="utf-8"?>
<sst xmlns="http://schemas.openxmlformats.org/spreadsheetml/2006/main" count="264" uniqueCount="57">
  <si>
    <t>Newfoundland Power Inc.</t>
  </si>
  <si>
    <t xml:space="preserve">2024 Forecast </t>
  </si>
  <si>
    <t>Statement of Income</t>
  </si>
  <si>
    <t>2024 Before and After Cost Recovery</t>
  </si>
  <si>
    <t>($000s)</t>
  </si>
  <si>
    <t>2024F</t>
  </si>
  <si>
    <t xml:space="preserve">Impact of </t>
  </si>
  <si>
    <t>Before</t>
  </si>
  <si>
    <t xml:space="preserve">After </t>
  </si>
  <si>
    <t xml:space="preserve"> Recovery</t>
  </si>
  <si>
    <t>Recovery</t>
  </si>
  <si>
    <t>Revenue</t>
  </si>
  <si>
    <t>Purchased power expense</t>
  </si>
  <si>
    <t>Contribution</t>
  </si>
  <si>
    <t>Other revenue</t>
  </si>
  <si>
    <t>Other expenses:</t>
  </si>
  <si>
    <t xml:space="preserve">  Operating expenses</t>
  </si>
  <si>
    <t xml:space="preserve">  Employee future benefit costs</t>
  </si>
  <si>
    <t xml:space="preserve">  Deferred cost recoveries and amortizations</t>
  </si>
  <si>
    <t xml:space="preserve">  Depreciation</t>
  </si>
  <si>
    <t>Income before income taxes</t>
  </si>
  <si>
    <t>Earnings applicable to common shares</t>
  </si>
  <si>
    <t>Regulated Return on Equity (%)</t>
  </si>
  <si>
    <t>Return on Rate Base</t>
  </si>
  <si>
    <t>Rate of Return on Rate Base (%)</t>
  </si>
  <si>
    <t>Per Application, Appendix D, Page 1</t>
  </si>
  <si>
    <t>Sales Forecast Increased by 1%</t>
  </si>
  <si>
    <t>Add: Revenue Shortfall Net of Income Taxes (at 8.50% ROE)</t>
  </si>
  <si>
    <t>Newfoundland Power - 2024 Rate of Return on Rate Base Application</t>
  </si>
  <si>
    <t>Page 1 of 6</t>
  </si>
  <si>
    <t>Average Rate Base</t>
  </si>
  <si>
    <t>Page 2 of 6</t>
  </si>
  <si>
    <t>Page 3 of 6</t>
  </si>
  <si>
    <t>Page 4 of 6</t>
  </si>
  <si>
    <t>Page 5 of 6</t>
  </si>
  <si>
    <t>Page 6 of 6</t>
  </si>
  <si>
    <t>Sales Forecast Increased by 2%</t>
  </si>
  <si>
    <t>Sales Forecast Decreased by 1%</t>
  </si>
  <si>
    <t>Sales Forecast Decreased by 2%</t>
  </si>
  <si>
    <t>Operating Expense Decreased by 5%</t>
  </si>
  <si>
    <t>Oprating Expense Decreased by 10%</t>
  </si>
  <si>
    <t xml:space="preserve">  Finance charges</t>
  </si>
  <si>
    <t>Income taxes</t>
  </si>
  <si>
    <t>Return on Common Equity at 8.50% ROE</t>
  </si>
  <si>
    <t>Difference</t>
  </si>
  <si>
    <t>proposed cost recovery.</t>
  </si>
  <si>
    <r>
      <rPr>
        <b/>
        <i/>
        <sz val="12"/>
        <color theme="1"/>
        <rFont val="Times New Roman"/>
        <family val="1"/>
      </rPr>
      <t>Pro Forma</t>
    </r>
    <r>
      <rPr>
        <b/>
        <sz val="12"/>
        <color theme="1"/>
        <rFont val="Times New Roman"/>
        <family val="1"/>
      </rPr>
      <t xml:space="preserve"> Scenario: Sales Forecast Increased by 1% for All Rate Classes </t>
    </r>
    <r>
      <rPr>
        <b/>
        <vertAlign val="superscript"/>
        <sz val="12"/>
        <color theme="1"/>
        <rFont val="Times New Roman"/>
        <family val="1"/>
      </rPr>
      <t>1</t>
    </r>
  </si>
  <si>
    <r>
      <rPr>
        <b/>
        <i/>
        <sz val="12"/>
        <color theme="1"/>
        <rFont val="Times New Roman"/>
        <family val="1"/>
      </rPr>
      <t xml:space="preserve">Pro Forma </t>
    </r>
    <r>
      <rPr>
        <b/>
        <sz val="12"/>
        <color theme="1"/>
        <rFont val="Times New Roman"/>
        <family val="1"/>
      </rPr>
      <t xml:space="preserve">Scenario: Sales Forecast Decreased by 1% for All Rate Classes </t>
    </r>
    <r>
      <rPr>
        <b/>
        <vertAlign val="superscript"/>
        <sz val="12"/>
        <color theme="1"/>
        <rFont val="Times New Roman"/>
        <family val="1"/>
      </rPr>
      <t>1</t>
    </r>
  </si>
  <si>
    <r>
      <rPr>
        <b/>
        <i/>
        <sz val="12"/>
        <color theme="1"/>
        <rFont val="Times New Roman"/>
        <family val="1"/>
      </rPr>
      <t>Pro Forma</t>
    </r>
    <r>
      <rPr>
        <b/>
        <sz val="12"/>
        <color theme="1"/>
        <rFont val="Times New Roman"/>
        <family val="1"/>
      </rPr>
      <t xml:space="preserve"> Scenario: Sales Forecast Increased by 2% for All Rate Classes</t>
    </r>
    <r>
      <rPr>
        <b/>
        <vertAlign val="superscript"/>
        <sz val="12"/>
        <color theme="1"/>
        <rFont val="Times New Roman"/>
        <family val="1"/>
      </rPr>
      <t xml:space="preserve"> 1</t>
    </r>
  </si>
  <si>
    <r>
      <rPr>
        <b/>
        <i/>
        <sz val="12"/>
        <color theme="1"/>
        <rFont val="Times New Roman"/>
        <family val="1"/>
      </rPr>
      <t>Pro Forma</t>
    </r>
    <r>
      <rPr>
        <b/>
        <sz val="12"/>
        <color theme="1"/>
        <rFont val="Times New Roman"/>
        <family val="1"/>
      </rPr>
      <t xml:space="preserve"> Scenario: Sales Forecast Decreased by 2% for All Rate Classes </t>
    </r>
    <r>
      <rPr>
        <b/>
        <vertAlign val="superscript"/>
        <sz val="12"/>
        <color theme="1"/>
        <rFont val="Times New Roman"/>
        <family val="1"/>
      </rPr>
      <t>1</t>
    </r>
  </si>
  <si>
    <r>
      <rPr>
        <b/>
        <i/>
        <sz val="12"/>
        <color theme="1"/>
        <rFont val="Times New Roman"/>
        <family val="1"/>
      </rPr>
      <t>Pro Forma</t>
    </r>
    <r>
      <rPr>
        <b/>
        <sz val="12"/>
        <color theme="1"/>
        <rFont val="Times New Roman"/>
        <family val="1"/>
      </rPr>
      <t xml:space="preserve"> Scenario: Operating Expenses Decreased by 5% </t>
    </r>
    <r>
      <rPr>
        <b/>
        <vertAlign val="superscript"/>
        <sz val="12"/>
        <color theme="1"/>
        <rFont val="Times New Roman"/>
        <family val="1"/>
      </rPr>
      <t>1</t>
    </r>
  </si>
  <si>
    <r>
      <rPr>
        <b/>
        <i/>
        <sz val="12"/>
        <color theme="1"/>
        <rFont val="Times New Roman"/>
        <family val="1"/>
      </rPr>
      <t>Pro Forma</t>
    </r>
    <r>
      <rPr>
        <b/>
        <sz val="12"/>
        <color theme="1"/>
        <rFont val="Times New Roman"/>
        <family val="1"/>
      </rPr>
      <t xml:space="preserve"> Scenario: Operating Expenses Decreased by 10% </t>
    </r>
    <r>
      <rPr>
        <b/>
        <vertAlign val="super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 </t>
    </r>
  </si>
  <si>
    <t>The scenario would also not materially impact the calculation of 2024 average rate base.</t>
  </si>
  <si>
    <t xml:space="preserve">For the purposes of the scenario analysis, earnings and return impacts are limited to contribution margin and related income tax effects. As demonstrated </t>
  </si>
  <si>
    <t>below, the scenario would not materially impact the calculation of the 2024 return on equity at a 8.50% ROE and therefore would not materially impact the</t>
  </si>
  <si>
    <t xml:space="preserve">For the purposes of the scenario analysis, earnings and return impacts are limited to operating expenses and related income tax effects. As demonstrated </t>
  </si>
  <si>
    <t>PUB-NP-013, Attachment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</si>
</sst>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sz val="11.5"/>
      <color rgb="FFFF0000"/>
      <name val="Calibri"/>
      <family val="2"/>
      <scheme val="minor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.5"/>
      <name val="Times New Roman"/>
      <family val="1"/>
    </font>
    <font>
      <sz val="12"/>
      <name val="Times New Roman"/>
      <family val="1"/>
    </font>
    <font>
      <vertAlign val="superscript"/>
      <sz val="11.5"/>
      <color indexed="8"/>
      <name val="Times New Roman"/>
      <family val="1"/>
    </font>
    <font>
      <sz val="11.5"/>
      <name val="Times New Roman"/>
      <family val="1"/>
    </font>
    <font>
      <sz val="11"/>
      <color rgb="FFFF0000"/>
      <name val="Times New Roman"/>
      <family val="1"/>
    </font>
    <font>
      <sz val="11.5"/>
      <color rgb="FFFF0000"/>
      <name val="Times New Roman"/>
      <family val="1"/>
    </font>
    <font>
      <sz val="11.5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9"/>
      <color theme="1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</cellStyleXfs>
  <cellXfs count="86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7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Fill="1" applyBorder="1"/>
    <xf numFmtId="0" fontId="3" fillId="0" borderId="1" xfId="0" applyFont="1" applyBorder="1"/>
    <xf numFmtId="0" fontId="6" fillId="0" borderId="1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/>
    <xf numFmtId="0" fontId="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0" xfId="0" applyFont="1"/>
    <xf numFmtId="0" fontId="1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Fill="1"/>
    <xf numFmtId="164" fontId="3" fillId="0" borderId="0" xfId="1" applyNumberFormat="1" applyFont="1" applyFill="1" applyBorder="1"/>
    <xf numFmtId="164" fontId="3" fillId="0" borderId="0" xfId="0" applyNumberFormat="1" applyFont="1" applyFill="1" applyBorder="1"/>
    <xf numFmtId="0" fontId="17" fillId="0" borderId="0" xfId="3" quotePrefix="1" applyNumberFormat="1" applyFont="1" applyFill="1" applyBorder="1" applyAlignment="1">
      <alignment horizontal="left"/>
    </xf>
    <xf numFmtId="164" fontId="18" fillId="0" borderId="0" xfId="1" applyNumberFormat="1" applyFont="1" applyFill="1" applyBorder="1" applyAlignment="1">
      <alignment horizontal="left"/>
    </xf>
    <xf numFmtId="164" fontId="3" fillId="0" borderId="2" xfId="1" applyNumberFormat="1" applyFont="1" applyFill="1" applyBorder="1"/>
    <xf numFmtId="164" fontId="3" fillId="0" borderId="0" xfId="0" applyNumberFormat="1" applyFont="1" applyBorder="1"/>
    <xf numFmtId="164" fontId="3" fillId="0" borderId="1" xfId="1" applyNumberFormat="1" applyFont="1" applyFill="1" applyBorder="1"/>
    <xf numFmtId="164" fontId="19" fillId="0" borderId="0" xfId="0" applyNumberFormat="1" applyFont="1" applyFill="1" applyBorder="1"/>
    <xf numFmtId="164" fontId="13" fillId="0" borderId="0" xfId="1" applyNumberFormat="1" applyFont="1" applyFill="1" applyBorder="1"/>
    <xf numFmtId="164" fontId="20" fillId="0" borderId="0" xfId="0" applyNumberFormat="1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164" fontId="10" fillId="0" borderId="0" xfId="1" applyNumberFormat="1" applyFont="1" applyFill="1" applyBorder="1"/>
    <xf numFmtId="0" fontId="3" fillId="0" borderId="0" xfId="0" applyFont="1" applyFill="1" applyBorder="1"/>
    <xf numFmtId="10" fontId="3" fillId="0" borderId="0" xfId="2" applyNumberFormat="1" applyFont="1" applyFill="1" applyBorder="1"/>
    <xf numFmtId="0" fontId="13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2" fillId="0" borderId="0" xfId="0" applyFont="1" applyFill="1" applyBorder="1"/>
    <xf numFmtId="0" fontId="22" fillId="0" borderId="0" xfId="0" applyFont="1" applyBorder="1"/>
    <xf numFmtId="0" fontId="10" fillId="0" borderId="0" xfId="0" applyFont="1"/>
    <xf numFmtId="164" fontId="11" fillId="0" borderId="0" xfId="1" applyNumberFormat="1" applyFont="1" applyFill="1" applyBorder="1" applyAlignment="1">
      <alignment horizontal="left"/>
    </xf>
    <xf numFmtId="164" fontId="22" fillId="0" borderId="0" xfId="1" applyNumberFormat="1" applyFont="1" applyBorder="1"/>
    <xf numFmtId="164" fontId="22" fillId="0" borderId="0" xfId="0" applyNumberFormat="1" applyFont="1" applyBorder="1"/>
    <xf numFmtId="164" fontId="14" fillId="0" borderId="0" xfId="1" applyNumberFormat="1" applyFont="1" applyFill="1" applyBorder="1"/>
    <xf numFmtId="164" fontId="15" fillId="0" borderId="0" xfId="1" applyNumberFormat="1" applyFont="1" applyFill="1" applyBorder="1" applyAlignment="1">
      <alignment horizontal="left"/>
    </xf>
    <xf numFmtId="164" fontId="23" fillId="0" borderId="0" xfId="1" applyNumberFormat="1" applyFont="1" applyBorder="1"/>
    <xf numFmtId="164" fontId="13" fillId="0" borderId="3" xfId="1" applyNumberFormat="1" applyFont="1" applyFill="1" applyBorder="1"/>
    <xf numFmtId="165" fontId="3" fillId="0" borderId="0" xfId="0" applyNumberFormat="1" applyFont="1" applyBorder="1"/>
    <xf numFmtId="0" fontId="19" fillId="0" borderId="4" xfId="0" applyFont="1" applyFill="1" applyBorder="1"/>
    <xf numFmtId="43" fontId="13" fillId="0" borderId="0" xfId="1" applyFont="1" applyFill="1" applyBorder="1"/>
    <xf numFmtId="0" fontId="18" fillId="0" borderId="0" xfId="0" applyFont="1" applyFill="1" applyBorder="1" applyAlignment="1">
      <alignment horizontal="left"/>
    </xf>
    <xf numFmtId="43" fontId="3" fillId="0" borderId="0" xfId="1" applyFont="1" applyFill="1" applyBorder="1"/>
    <xf numFmtId="0" fontId="24" fillId="0" borderId="0" xfId="4" applyNumberFormat="1" applyFont="1" applyFill="1" applyBorder="1" applyAlignment="1">
      <alignment horizontal="right" vertical="top"/>
    </xf>
    <xf numFmtId="0" fontId="22" fillId="0" borderId="0" xfId="4" applyFont="1" applyFill="1" applyBorder="1"/>
    <xf numFmtId="0" fontId="25" fillId="0" borderId="0" xfId="0" applyFont="1" applyFill="1" applyAlignment="1">
      <alignment horizontal="left" indent="3"/>
    </xf>
    <xf numFmtId="164" fontId="25" fillId="0" borderId="0" xfId="1" applyNumberFormat="1" applyFont="1" applyFill="1" applyAlignment="1">
      <alignment horizontal="left" indent="3"/>
    </xf>
    <xf numFmtId="164" fontId="25" fillId="0" borderId="1" xfId="1" applyNumberFormat="1" applyFont="1" applyFill="1" applyBorder="1" applyAlignment="1">
      <alignment horizontal="left" indent="3"/>
    </xf>
    <xf numFmtId="43" fontId="3" fillId="0" borderId="0" xfId="0" applyNumberFormat="1" applyFont="1" applyBorder="1"/>
    <xf numFmtId="0" fontId="26" fillId="0" borderId="5" xfId="0" applyFont="1" applyBorder="1"/>
    <xf numFmtId="0" fontId="16" fillId="0" borderId="5" xfId="0" applyFont="1" applyBorder="1"/>
    <xf numFmtId="0" fontId="18" fillId="0" borderId="5" xfId="0" applyFont="1" applyBorder="1" applyAlignment="1">
      <alignment horizontal="left"/>
    </xf>
    <xf numFmtId="0" fontId="16" fillId="0" borderId="5" xfId="0" applyFont="1" applyBorder="1" applyAlignment="1">
      <alignment horizontal="right"/>
    </xf>
    <xf numFmtId="43" fontId="18" fillId="0" borderId="0" xfId="1" applyFont="1" applyFill="1" applyBorder="1" applyAlignment="1">
      <alignment horizontal="left"/>
    </xf>
    <xf numFmtId="164" fontId="25" fillId="0" borderId="0" xfId="1" applyNumberFormat="1" applyFont="1" applyFill="1" applyAlignment="1">
      <alignment horizontal="center"/>
    </xf>
    <xf numFmtId="164" fontId="25" fillId="0" borderId="1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Fill="1" applyAlignment="1">
      <alignment horizontal="left"/>
    </xf>
    <xf numFmtId="43" fontId="19" fillId="0" borderId="0" xfId="1" applyFont="1" applyFill="1" applyBorder="1"/>
    <xf numFmtId="43" fontId="20" fillId="0" borderId="0" xfId="1" applyFont="1" applyFill="1" applyBorder="1" applyAlignment="1">
      <alignment horizontal="left"/>
    </xf>
    <xf numFmtId="164" fontId="22" fillId="0" borderId="0" xfId="1" applyNumberFormat="1" applyFont="1" applyFill="1" applyBorder="1"/>
    <xf numFmtId="164" fontId="3" fillId="0" borderId="0" xfId="2" applyNumberFormat="1" applyFont="1" applyFill="1" applyBorder="1"/>
    <xf numFmtId="43" fontId="20" fillId="0" borderId="0" xfId="0" applyNumberFormat="1" applyFont="1" applyFill="1" applyBorder="1" applyAlignment="1">
      <alignment horizontal="left"/>
    </xf>
    <xf numFmtId="0" fontId="23" fillId="0" borderId="0" xfId="4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13" fillId="0" borderId="1" xfId="1" applyNumberFormat="1" applyFont="1" applyFill="1" applyBorder="1"/>
    <xf numFmtId="43" fontId="13" fillId="0" borderId="0" xfId="1" applyNumberFormat="1" applyFont="1" applyFill="1" applyBorder="1"/>
    <xf numFmtId="166" fontId="3" fillId="0" borderId="0" xfId="0" applyNumberFormat="1" applyFont="1" applyBorder="1"/>
    <xf numFmtId="0" fontId="9" fillId="0" borderId="0" xfId="0" applyFont="1" applyAlignment="1">
      <alignment horizontal="center"/>
    </xf>
  </cellXfs>
  <cellStyles count="5">
    <cellStyle name="Comma" xfId="1" builtinId="3"/>
    <cellStyle name="Comma 101 2" xfId="3" xr:uid="{09FC95D9-4B61-4795-AEA7-CA01D7FC3684}"/>
    <cellStyle name="Normal" xfId="0" builtinId="0"/>
    <cellStyle name="Normal 102" xfId="4" xr:uid="{0D8C71A9-4BC4-44A8-B212-B0A381F8226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0D5-0AED-43CB-B1FE-0A54AB8223CE}">
  <sheetPr>
    <pageSetUpPr fitToPage="1"/>
  </sheetPr>
  <dimension ref="A1:Q62"/>
  <sheetViews>
    <sheetView topLeftCell="A13" zoomScaleNormal="100" workbookViewId="0">
      <selection activeCell="H30" sqref="H30"/>
    </sheetView>
  </sheetViews>
  <sheetFormatPr defaultColWidth="9.140625" defaultRowHeight="15" x14ac:dyDescent="0.25"/>
  <cols>
    <col min="1" max="1" width="4" style="1" customWidth="1"/>
    <col min="2" max="2" width="48.140625" style="1" customWidth="1"/>
    <col min="3" max="3" width="6.140625" style="1" customWidth="1"/>
    <col min="4" max="4" width="16.85546875" style="1" customWidth="1"/>
    <col min="5" max="5" width="4.42578125" style="1" customWidth="1"/>
    <col min="6" max="6" width="14.5703125" style="1" customWidth="1"/>
    <col min="7" max="7" width="3.85546875" style="43" customWidth="1"/>
    <col min="8" max="8" width="13.140625" style="1" customWidth="1"/>
    <col min="9" max="9" width="4" style="1" customWidth="1"/>
    <col min="10" max="10" width="9.42578125" style="1" bestFit="1" customWidth="1"/>
    <col min="11" max="11" width="13.140625" style="1" bestFit="1" customWidth="1"/>
    <col min="12" max="12" width="9.140625" style="1"/>
    <col min="13" max="13" width="12.42578125" style="1" bestFit="1" customWidth="1"/>
    <col min="14" max="14" width="9.140625" style="1"/>
    <col min="15" max="15" width="12.42578125" style="1" bestFit="1" customWidth="1"/>
    <col min="16" max="16" width="9.140625" style="1"/>
    <col min="17" max="17" width="12.42578125" style="1" bestFit="1" customWidth="1"/>
    <col min="18" max="16384" width="9.140625" style="1"/>
  </cols>
  <sheetData>
    <row r="1" spans="1:9" ht="18.75" x14ac:dyDescent="0.3">
      <c r="F1" s="2"/>
      <c r="G1" s="3"/>
      <c r="H1" s="4"/>
    </row>
    <row r="2" spans="1:9" ht="18.75" x14ac:dyDescent="0.3">
      <c r="A2"/>
      <c r="B2" s="5"/>
      <c r="C2" s="6"/>
      <c r="D2" s="7"/>
      <c r="E2" s="7"/>
      <c r="F2" s="8"/>
      <c r="G2" s="8"/>
      <c r="H2" s="9" t="s">
        <v>56</v>
      </c>
    </row>
    <row r="3" spans="1:9" ht="18.75" x14ac:dyDescent="0.3">
      <c r="A3"/>
      <c r="B3" s="10"/>
      <c r="C3" s="10"/>
      <c r="D3" s="11"/>
      <c r="E3" s="11"/>
      <c r="F3" s="2"/>
      <c r="G3" s="3"/>
      <c r="H3" s="2"/>
      <c r="I3" s="2"/>
    </row>
    <row r="4" spans="1:9" ht="18.75" x14ac:dyDescent="0.3">
      <c r="A4"/>
      <c r="B4" s="10"/>
      <c r="C4" s="10"/>
      <c r="D4" s="11"/>
      <c r="E4" s="11"/>
      <c r="F4" s="2"/>
      <c r="G4" s="3"/>
      <c r="H4" s="2"/>
      <c r="I4" s="2"/>
    </row>
    <row r="5" spans="1:9" ht="15.75" x14ac:dyDescent="0.25">
      <c r="A5" s="12"/>
      <c r="B5" s="85" t="s">
        <v>0</v>
      </c>
      <c r="C5" s="85"/>
      <c r="D5" s="85"/>
      <c r="E5" s="85"/>
      <c r="F5" s="85"/>
      <c r="G5" s="85"/>
      <c r="H5" s="85"/>
      <c r="I5" s="13"/>
    </row>
    <row r="6" spans="1:9" x14ac:dyDescent="0.25">
      <c r="A6" s="12"/>
      <c r="B6" s="14"/>
      <c r="C6" s="14"/>
      <c r="D6" s="14"/>
      <c r="E6" s="14"/>
      <c r="F6" s="14"/>
      <c r="G6" s="15"/>
      <c r="H6" s="14"/>
      <c r="I6" s="14"/>
    </row>
    <row r="7" spans="1:9" ht="15.75" x14ac:dyDescent="0.25">
      <c r="A7" s="12"/>
      <c r="B7" s="85" t="s">
        <v>1</v>
      </c>
      <c r="C7" s="85"/>
      <c r="D7" s="85"/>
      <c r="E7" s="85"/>
      <c r="F7" s="85"/>
      <c r="G7" s="85"/>
      <c r="H7" s="85"/>
      <c r="I7" s="16"/>
    </row>
    <row r="8" spans="1:9" ht="15.75" x14ac:dyDescent="0.25">
      <c r="A8" s="12"/>
      <c r="B8" s="85" t="s">
        <v>2</v>
      </c>
      <c r="C8" s="85"/>
      <c r="D8" s="85"/>
      <c r="E8" s="85"/>
      <c r="F8" s="85"/>
      <c r="G8" s="85"/>
      <c r="H8" s="85"/>
      <c r="I8" s="13"/>
    </row>
    <row r="9" spans="1:9" ht="15.75" x14ac:dyDescent="0.25">
      <c r="A9" s="12"/>
      <c r="B9" s="85" t="s">
        <v>3</v>
      </c>
      <c r="C9" s="85"/>
      <c r="D9" s="85"/>
      <c r="E9" s="85"/>
      <c r="F9" s="85"/>
      <c r="G9" s="85"/>
      <c r="H9" s="85"/>
      <c r="I9" s="13"/>
    </row>
    <row r="10" spans="1:9" ht="18.75" x14ac:dyDescent="0.25">
      <c r="A10" s="12"/>
      <c r="B10" s="85" t="s">
        <v>46</v>
      </c>
      <c r="C10" s="85"/>
      <c r="D10" s="85"/>
      <c r="E10" s="85"/>
      <c r="F10" s="85"/>
      <c r="G10" s="85"/>
      <c r="H10" s="85"/>
      <c r="I10" s="13"/>
    </row>
    <row r="11" spans="1:9" ht="15.75" x14ac:dyDescent="0.25">
      <c r="A11" s="12"/>
      <c r="B11" s="85" t="s">
        <v>4</v>
      </c>
      <c r="C11" s="85"/>
      <c r="D11" s="85"/>
      <c r="E11" s="85"/>
      <c r="F11" s="85"/>
      <c r="G11" s="85"/>
      <c r="H11" s="85"/>
      <c r="I11" s="13"/>
    </row>
    <row r="12" spans="1:9" ht="15.75" x14ac:dyDescent="0.25">
      <c r="A12" s="12"/>
      <c r="B12" s="13"/>
      <c r="C12" s="13"/>
      <c r="D12" s="13"/>
      <c r="E12" s="13"/>
      <c r="F12" s="13"/>
      <c r="G12" s="15"/>
      <c r="H12" s="13"/>
    </row>
    <row r="13" spans="1:9" ht="15.75" x14ac:dyDescent="0.25">
      <c r="A13" s="12"/>
      <c r="B13" s="13"/>
      <c r="C13" s="13"/>
      <c r="D13" s="13" t="s">
        <v>5</v>
      </c>
      <c r="E13" s="13"/>
      <c r="F13" s="13" t="s">
        <v>6</v>
      </c>
      <c r="G13" s="15"/>
      <c r="H13" s="17" t="s">
        <v>5</v>
      </c>
    </row>
    <row r="14" spans="1:9" ht="15.75" x14ac:dyDescent="0.25">
      <c r="A14" s="12"/>
      <c r="B14" s="13"/>
      <c r="C14" s="13"/>
      <c r="D14" s="13" t="s">
        <v>7</v>
      </c>
      <c r="E14" s="13"/>
      <c r="F14" s="13">
        <v>2024</v>
      </c>
      <c r="G14" s="15"/>
      <c r="H14" s="17" t="s">
        <v>8</v>
      </c>
    </row>
    <row r="15" spans="1:9" ht="18.75" x14ac:dyDescent="0.25">
      <c r="A15" s="12"/>
      <c r="B15" s="13"/>
      <c r="C15" s="13"/>
      <c r="D15" s="18" t="s">
        <v>9</v>
      </c>
      <c r="E15" s="13"/>
      <c r="F15" s="19" t="s">
        <v>10</v>
      </c>
      <c r="G15" s="15"/>
      <c r="H15" s="19" t="s">
        <v>10</v>
      </c>
    </row>
    <row r="16" spans="1:9" x14ac:dyDescent="0.25">
      <c r="A16" s="20"/>
      <c r="B16" s="21"/>
      <c r="C16" s="21"/>
      <c r="D16" s="22"/>
      <c r="E16" s="22"/>
      <c r="F16" s="22"/>
      <c r="G16" s="23"/>
      <c r="H16" s="22"/>
    </row>
    <row r="17" spans="1:17" ht="18" x14ac:dyDescent="0.25">
      <c r="A17" s="24">
        <v>1</v>
      </c>
      <c r="B17" s="20" t="s">
        <v>11</v>
      </c>
      <c r="C17" s="25"/>
      <c r="D17" s="26">
        <f>777093+144+6237+7027</f>
        <v>790501</v>
      </c>
      <c r="E17" s="27"/>
      <c r="F17" s="26">
        <v>5113</v>
      </c>
      <c r="G17" s="28"/>
      <c r="H17" s="26">
        <f>D17+F17</f>
        <v>795614</v>
      </c>
    </row>
    <row r="18" spans="1:17" x14ac:dyDescent="0.25">
      <c r="A18" s="24">
        <f>A17+1</f>
        <v>2</v>
      </c>
      <c r="B18" s="20" t="s">
        <v>12</v>
      </c>
      <c r="C18" s="25"/>
      <c r="D18" s="26">
        <f>522703+118+11370+436</f>
        <v>534627</v>
      </c>
      <c r="E18" s="26"/>
      <c r="F18" s="26">
        <v>0</v>
      </c>
      <c r="G18" s="29"/>
      <c r="H18" s="26">
        <f>D18+F18</f>
        <v>534627</v>
      </c>
    </row>
    <row r="19" spans="1:17" x14ac:dyDescent="0.25">
      <c r="A19" s="24">
        <f t="shared" ref="A19:A38" si="0">A18+1</f>
        <v>3</v>
      </c>
      <c r="B19" s="20" t="s">
        <v>13</v>
      </c>
      <c r="C19" s="25"/>
      <c r="D19" s="30">
        <f>D17-D18</f>
        <v>255874</v>
      </c>
      <c r="E19" s="26"/>
      <c r="F19" s="30">
        <f>F17-F18</f>
        <v>5113</v>
      </c>
      <c r="G19" s="29"/>
      <c r="H19" s="30">
        <f>H17-H18</f>
        <v>260987</v>
      </c>
      <c r="J19" s="31"/>
    </row>
    <row r="20" spans="1:17" x14ac:dyDescent="0.25">
      <c r="A20" s="24">
        <f t="shared" si="0"/>
        <v>4</v>
      </c>
      <c r="B20" s="20"/>
      <c r="C20" s="25"/>
      <c r="D20" s="26"/>
      <c r="E20" s="26"/>
      <c r="F20" s="26"/>
      <c r="G20" s="29"/>
      <c r="H20" s="26"/>
    </row>
    <row r="21" spans="1:17" ht="18" x14ac:dyDescent="0.25">
      <c r="A21" s="24">
        <f t="shared" si="0"/>
        <v>5</v>
      </c>
      <c r="B21" s="20" t="s">
        <v>14</v>
      </c>
      <c r="C21" s="25"/>
      <c r="D21" s="32">
        <v>9789</v>
      </c>
      <c r="E21" s="26"/>
      <c r="F21" s="32">
        <v>237</v>
      </c>
      <c r="G21" s="28"/>
      <c r="H21" s="32">
        <f>D21+F21</f>
        <v>10026</v>
      </c>
      <c r="J21" s="33"/>
      <c r="K21" s="34"/>
      <c r="L21" s="35"/>
    </row>
    <row r="22" spans="1:17" x14ac:dyDescent="0.25">
      <c r="A22" s="24">
        <f t="shared" si="0"/>
        <v>6</v>
      </c>
      <c r="B22" s="20"/>
      <c r="C22" s="25"/>
      <c r="D22" s="26"/>
      <c r="E22" s="26"/>
      <c r="F22" s="26"/>
      <c r="G22" s="29"/>
      <c r="H22" s="26"/>
      <c r="J22" s="36"/>
      <c r="K22" s="36"/>
      <c r="L22" s="37"/>
    </row>
    <row r="23" spans="1:17" x14ac:dyDescent="0.25">
      <c r="A23" s="24">
        <f t="shared" si="0"/>
        <v>7</v>
      </c>
      <c r="B23" s="20" t="s">
        <v>15</v>
      </c>
      <c r="C23" s="25"/>
      <c r="D23" s="38"/>
      <c r="E23" s="26"/>
      <c r="F23" s="38"/>
      <c r="G23" s="29"/>
      <c r="H23" s="38"/>
      <c r="J23" s="36"/>
      <c r="K23" s="36"/>
      <c r="L23" s="37"/>
    </row>
    <row r="24" spans="1:17" x14ac:dyDescent="0.25">
      <c r="A24" s="24">
        <f t="shared" si="0"/>
        <v>8</v>
      </c>
      <c r="B24" s="20" t="s">
        <v>16</v>
      </c>
      <c r="C24" s="25"/>
      <c r="D24" s="26">
        <v>78775</v>
      </c>
      <c r="E24" s="26"/>
      <c r="F24" s="26">
        <v>0</v>
      </c>
      <c r="G24" s="29"/>
      <c r="H24" s="26">
        <f t="shared" ref="H24:H28" si="1">D24+F24</f>
        <v>78775</v>
      </c>
      <c r="I24" s="39"/>
      <c r="J24" s="36"/>
      <c r="K24" s="40"/>
      <c r="L24" s="37"/>
    </row>
    <row r="25" spans="1:17" x14ac:dyDescent="0.25">
      <c r="A25" s="24">
        <f t="shared" si="0"/>
        <v>9</v>
      </c>
      <c r="B25" s="20" t="s">
        <v>17</v>
      </c>
      <c r="C25" s="25"/>
      <c r="D25" s="26">
        <f>2977+33</f>
        <v>3010</v>
      </c>
      <c r="E25" s="26"/>
      <c r="F25" s="26">
        <v>0</v>
      </c>
      <c r="G25" s="29"/>
      <c r="H25" s="26">
        <f t="shared" si="1"/>
        <v>3010</v>
      </c>
      <c r="I25" s="39"/>
      <c r="J25" s="36"/>
      <c r="K25" s="36"/>
      <c r="L25" s="37"/>
    </row>
    <row r="26" spans="1:17" ht="18" x14ac:dyDescent="0.25">
      <c r="A26" s="24">
        <f t="shared" si="0"/>
        <v>10</v>
      </c>
      <c r="B26" s="20" t="s">
        <v>18</v>
      </c>
      <c r="C26" s="25"/>
      <c r="D26" s="34">
        <v>-240</v>
      </c>
      <c r="E26" s="26"/>
      <c r="F26" s="26">
        <v>-6722</v>
      </c>
      <c r="G26" s="28"/>
      <c r="H26" s="34">
        <f t="shared" si="1"/>
        <v>-6962</v>
      </c>
      <c r="I26" s="39"/>
      <c r="J26" s="41"/>
      <c r="K26" s="26"/>
      <c r="L26" s="42"/>
    </row>
    <row r="27" spans="1:17" x14ac:dyDescent="0.25">
      <c r="A27" s="24">
        <f t="shared" si="0"/>
        <v>11</v>
      </c>
      <c r="B27" s="20" t="s">
        <v>19</v>
      </c>
      <c r="C27" s="25"/>
      <c r="D27" s="26">
        <v>79557</v>
      </c>
      <c r="E27" s="26"/>
      <c r="F27" s="26">
        <v>0</v>
      </c>
      <c r="G27" s="29"/>
      <c r="H27" s="26">
        <f t="shared" si="1"/>
        <v>79557</v>
      </c>
      <c r="I27" s="39"/>
      <c r="J27" s="39"/>
      <c r="L27" s="43"/>
    </row>
    <row r="28" spans="1:17" ht="18" x14ac:dyDescent="0.25">
      <c r="A28" s="24">
        <f t="shared" si="0"/>
        <v>12</v>
      </c>
      <c r="B28" s="20" t="s">
        <v>41</v>
      </c>
      <c r="C28" s="20"/>
      <c r="D28" s="26">
        <f>41688+13</f>
        <v>41701</v>
      </c>
      <c r="E28" s="26"/>
      <c r="F28" s="26">
        <v>-94</v>
      </c>
      <c r="G28" s="28"/>
      <c r="H28" s="26">
        <f t="shared" si="1"/>
        <v>41607</v>
      </c>
      <c r="I28" s="39"/>
      <c r="J28" s="39"/>
      <c r="L28" s="43"/>
    </row>
    <row r="29" spans="1:17" x14ac:dyDescent="0.25">
      <c r="A29" s="24">
        <f t="shared" si="0"/>
        <v>13</v>
      </c>
      <c r="B29" s="20"/>
      <c r="C29" s="20"/>
      <c r="D29" s="30">
        <f>SUM(D24:D28)</f>
        <v>202803</v>
      </c>
      <c r="E29" s="26"/>
      <c r="F29" s="30">
        <f>SUM(F24:F28)</f>
        <v>-6816</v>
      </c>
      <c r="G29" s="29"/>
      <c r="H29" s="30">
        <f>D29+F29</f>
        <v>195987</v>
      </c>
      <c r="I29" s="39"/>
      <c r="J29" s="44"/>
      <c r="K29" s="45"/>
      <c r="L29" s="43"/>
    </row>
    <row r="30" spans="1:17" x14ac:dyDescent="0.25">
      <c r="A30" s="24">
        <f t="shared" si="0"/>
        <v>14</v>
      </c>
      <c r="B30" s="20"/>
      <c r="C30" s="46"/>
      <c r="D30" s="38"/>
      <c r="E30" s="38"/>
      <c r="F30" s="38"/>
      <c r="G30" s="47"/>
      <c r="H30" s="38"/>
      <c r="J30" s="45"/>
      <c r="K30" s="48"/>
      <c r="L30" s="43"/>
    </row>
    <row r="31" spans="1:17" x14ac:dyDescent="0.25">
      <c r="A31" s="24">
        <f t="shared" si="0"/>
        <v>15</v>
      </c>
      <c r="B31" s="20" t="s">
        <v>20</v>
      </c>
      <c r="C31" s="20"/>
      <c r="D31" s="34">
        <f>D19+D21-D29</f>
        <v>62860</v>
      </c>
      <c r="E31" s="26"/>
      <c r="F31" s="26">
        <f>F19+F21-F29</f>
        <v>12166</v>
      </c>
      <c r="G31" s="29"/>
      <c r="H31" s="34">
        <f>D31+F31</f>
        <v>75026</v>
      </c>
      <c r="I31" s="39"/>
      <c r="J31" s="49"/>
      <c r="K31" s="54"/>
      <c r="L31" s="43"/>
      <c r="M31" s="54"/>
      <c r="O31" s="54"/>
      <c r="Q31" s="84"/>
    </row>
    <row r="32" spans="1:17" x14ac:dyDescent="0.25">
      <c r="A32" s="24">
        <f t="shared" si="0"/>
        <v>16</v>
      </c>
      <c r="B32" s="20" t="s">
        <v>42</v>
      </c>
      <c r="C32" s="46"/>
      <c r="D32" s="32">
        <f>18749+(1459*0.3)</f>
        <v>19186.7</v>
      </c>
      <c r="E32" s="50"/>
      <c r="F32" s="32">
        <f>F31*0.3</f>
        <v>3649.7999999999997</v>
      </c>
      <c r="G32" s="51"/>
      <c r="H32" s="82">
        <f>D32+F32</f>
        <v>22836.5</v>
      </c>
      <c r="I32" s="39"/>
      <c r="J32" s="49"/>
      <c r="K32" s="52"/>
      <c r="L32" s="43"/>
    </row>
    <row r="33" spans="1:17" x14ac:dyDescent="0.25">
      <c r="A33" s="24">
        <f t="shared" si="0"/>
        <v>17</v>
      </c>
      <c r="B33" s="20"/>
      <c r="C33" s="20"/>
      <c r="D33" s="33"/>
      <c r="E33" s="33"/>
      <c r="F33" s="33"/>
      <c r="G33" s="35"/>
      <c r="H33" s="33"/>
      <c r="I33" s="39"/>
      <c r="J33" s="31"/>
    </row>
    <row r="34" spans="1:17" ht="15.75" thickBot="1" x14ac:dyDescent="0.3">
      <c r="A34" s="24">
        <f t="shared" si="0"/>
        <v>18</v>
      </c>
      <c r="B34" s="20" t="s">
        <v>21</v>
      </c>
      <c r="C34" s="20"/>
      <c r="D34" s="53">
        <f>D31-D32</f>
        <v>43673.3</v>
      </c>
      <c r="E34" s="33"/>
      <c r="F34" s="53">
        <f>F31-F32</f>
        <v>8516.2000000000007</v>
      </c>
      <c r="G34" s="35"/>
      <c r="H34" s="53">
        <f>D34+F34-1</f>
        <v>52188.5</v>
      </c>
      <c r="I34" s="39"/>
      <c r="J34" s="31"/>
      <c r="K34" s="31"/>
      <c r="M34" s="31"/>
      <c r="O34" s="31"/>
      <c r="Q34" s="84"/>
    </row>
    <row r="35" spans="1:17" x14ac:dyDescent="0.25">
      <c r="A35" s="24">
        <f t="shared" si="0"/>
        <v>19</v>
      </c>
      <c r="B35" s="20"/>
      <c r="C35" s="20"/>
      <c r="D35" s="55"/>
      <c r="E35" s="36"/>
      <c r="F35" s="36"/>
      <c r="G35" s="37"/>
      <c r="H35" s="36"/>
    </row>
    <row r="36" spans="1:17" x14ac:dyDescent="0.25">
      <c r="A36" s="24">
        <f t="shared" si="0"/>
        <v>20</v>
      </c>
      <c r="B36" s="20"/>
      <c r="C36" s="20"/>
      <c r="D36" s="36"/>
      <c r="E36" s="36"/>
      <c r="F36" s="36"/>
      <c r="G36" s="37"/>
      <c r="H36" s="36"/>
    </row>
    <row r="37" spans="1:17" x14ac:dyDescent="0.25">
      <c r="A37" s="24">
        <f t="shared" si="0"/>
        <v>21</v>
      </c>
      <c r="B37" s="20" t="s">
        <v>22</v>
      </c>
      <c r="C37" s="20"/>
      <c r="D37" s="56">
        <f>(D34/(602221+(H48/2)))*100</f>
        <v>7.2459005976379363</v>
      </c>
      <c r="E37" s="36"/>
      <c r="F37" s="40"/>
      <c r="G37" s="37"/>
      <c r="H37" s="83">
        <f>(H34/(606680+(H48/2)))*100</f>
        <v>8.5950834347362193</v>
      </c>
      <c r="I37" s="39"/>
      <c r="J37" s="39"/>
    </row>
    <row r="38" spans="1:17" x14ac:dyDescent="0.25">
      <c r="A38" s="24">
        <f t="shared" si="0"/>
        <v>22</v>
      </c>
      <c r="B38" s="20"/>
      <c r="C38" s="20"/>
      <c r="D38" s="36"/>
      <c r="E38" s="36"/>
      <c r="F38" s="36"/>
      <c r="G38" s="37"/>
      <c r="H38" s="36"/>
      <c r="I38" s="39"/>
      <c r="J38" s="39"/>
    </row>
    <row r="39" spans="1:17" x14ac:dyDescent="0.25">
      <c r="A39" s="24">
        <v>23</v>
      </c>
      <c r="B39" s="20" t="s">
        <v>23</v>
      </c>
      <c r="C39" s="20"/>
      <c r="D39" s="27">
        <f>84281-D48+F48</f>
        <v>85301.3</v>
      </c>
      <c r="E39" s="39"/>
      <c r="F39" s="39"/>
      <c r="G39" s="57"/>
      <c r="H39" s="27">
        <f>92703-51169+H34</f>
        <v>93722.5</v>
      </c>
      <c r="I39" s="39"/>
      <c r="J39" s="39"/>
      <c r="K39" s="31"/>
    </row>
    <row r="40" spans="1:17" x14ac:dyDescent="0.25">
      <c r="A40" s="24">
        <v>24</v>
      </c>
      <c r="B40" s="20" t="s">
        <v>30</v>
      </c>
      <c r="C40" s="20"/>
      <c r="D40" s="26">
        <v>1357684</v>
      </c>
      <c r="E40" s="39"/>
      <c r="F40" s="39"/>
      <c r="G40" s="57"/>
      <c r="H40" s="26">
        <v>1360058</v>
      </c>
      <c r="I40" s="39"/>
      <c r="J40" s="39"/>
    </row>
    <row r="41" spans="1:17" x14ac:dyDescent="0.25">
      <c r="A41" s="24">
        <v>25</v>
      </c>
      <c r="B41" s="20" t="s">
        <v>24</v>
      </c>
      <c r="C41" s="20"/>
      <c r="D41" s="58">
        <f>D39/D40*100</f>
        <v>6.2828537421078838</v>
      </c>
      <c r="E41" s="39"/>
      <c r="F41" s="39"/>
      <c r="G41" s="57"/>
      <c r="H41" s="58">
        <f>H39/H40*100</f>
        <v>6.8910664104030861</v>
      </c>
      <c r="I41" s="39"/>
      <c r="J41" s="39"/>
    </row>
    <row r="42" spans="1:17" x14ac:dyDescent="0.25">
      <c r="A42" s="24"/>
      <c r="B42" s="20"/>
      <c r="C42" s="20"/>
      <c r="D42" s="36"/>
      <c r="E42" s="36"/>
      <c r="F42" s="36"/>
      <c r="G42" s="37"/>
      <c r="H42" s="36"/>
      <c r="I42" s="39"/>
      <c r="J42" s="39"/>
    </row>
    <row r="43" spans="1:17" x14ac:dyDescent="0.25">
      <c r="B43" s="39"/>
      <c r="C43" s="39"/>
      <c r="D43" s="39"/>
      <c r="E43" s="39"/>
      <c r="F43" s="39"/>
    </row>
    <row r="44" spans="1:17" x14ac:dyDescent="0.25">
      <c r="A44" s="59">
        <v>1</v>
      </c>
      <c r="B44" s="60" t="s">
        <v>53</v>
      </c>
      <c r="C44" s="39"/>
      <c r="D44" s="39"/>
      <c r="E44" s="39"/>
      <c r="F44" s="39"/>
    </row>
    <row r="45" spans="1:17" x14ac:dyDescent="0.25">
      <c r="A45" s="59"/>
      <c r="B45" s="60" t="s">
        <v>54</v>
      </c>
      <c r="C45" s="39"/>
      <c r="D45" s="39"/>
      <c r="E45" s="39"/>
      <c r="F45" s="39"/>
    </row>
    <row r="46" spans="1:17" x14ac:dyDescent="0.25">
      <c r="A46" s="59"/>
      <c r="B46" s="60" t="s">
        <v>45</v>
      </c>
      <c r="C46" s="39"/>
      <c r="D46" s="39"/>
      <c r="E46" s="39"/>
      <c r="F46" s="39"/>
    </row>
    <row r="47" spans="1:17" ht="24.75" x14ac:dyDescent="0.25">
      <c r="B47" s="60"/>
      <c r="C47" s="39"/>
      <c r="D47" s="79" t="s">
        <v>25</v>
      </c>
      <c r="E47" s="80"/>
      <c r="F47" s="79" t="s">
        <v>26</v>
      </c>
      <c r="H47" s="79" t="s">
        <v>44</v>
      </c>
    </row>
    <row r="48" spans="1:17" x14ac:dyDescent="0.25">
      <c r="B48" s="61" t="s">
        <v>21</v>
      </c>
      <c r="C48" s="39"/>
      <c r="D48" s="62">
        <v>42653</v>
      </c>
      <c r="E48" s="62"/>
      <c r="F48" s="62">
        <f>D34</f>
        <v>43673.3</v>
      </c>
      <c r="H48" s="62">
        <f>F48-D48</f>
        <v>1020.3000000000029</v>
      </c>
    </row>
    <row r="49" spans="1:10" x14ac:dyDescent="0.25">
      <c r="B49" s="61" t="s">
        <v>27</v>
      </c>
      <c r="C49" s="39"/>
      <c r="D49" s="63">
        <v>8845</v>
      </c>
      <c r="E49" s="62"/>
      <c r="F49" s="63">
        <f>ROUND(((606680+(H48/2))*0.085+1)-71-F48,0)</f>
        <v>7868</v>
      </c>
      <c r="H49" s="63">
        <f>F49-D49</f>
        <v>-977</v>
      </c>
    </row>
    <row r="50" spans="1:10" x14ac:dyDescent="0.25">
      <c r="B50" s="61" t="s">
        <v>43</v>
      </c>
      <c r="D50" s="62">
        <f>D48+D49</f>
        <v>51498</v>
      </c>
      <c r="E50" s="62"/>
      <c r="F50" s="62">
        <f>F48+F49</f>
        <v>51541.3</v>
      </c>
      <c r="H50" s="62">
        <f>F50-D50</f>
        <v>43.30000000000291</v>
      </c>
    </row>
    <row r="51" spans="1:10" x14ac:dyDescent="0.25">
      <c r="A51" s="59"/>
      <c r="B51" s="45"/>
      <c r="D51" s="64"/>
    </row>
    <row r="52" spans="1:10" x14ac:dyDescent="0.25">
      <c r="A52" s="59"/>
      <c r="B52" s="45" t="s">
        <v>52</v>
      </c>
      <c r="D52" s="64"/>
    </row>
    <row r="53" spans="1:10" x14ac:dyDescent="0.25">
      <c r="A53" s="59"/>
      <c r="B53" s="45"/>
      <c r="D53" s="64"/>
    </row>
    <row r="54" spans="1:10" ht="15.75" x14ac:dyDescent="0.25">
      <c r="A54" s="20"/>
      <c r="B54" s="65" t="s">
        <v>28</v>
      </c>
      <c r="C54" s="66"/>
      <c r="D54" s="66"/>
      <c r="E54" s="65"/>
      <c r="F54" s="66"/>
      <c r="G54" s="67"/>
      <c r="H54" s="68" t="s">
        <v>29</v>
      </c>
    </row>
    <row r="58" spans="1:10" x14ac:dyDescent="0.25">
      <c r="D58" s="31"/>
      <c r="H58" s="31"/>
    </row>
    <row r="59" spans="1:10" x14ac:dyDescent="0.25">
      <c r="D59" s="64"/>
      <c r="F59" s="64"/>
      <c r="H59" s="64"/>
      <c r="J59" s="64"/>
    </row>
    <row r="62" spans="1:10" x14ac:dyDescent="0.25">
      <c r="D62" s="31"/>
      <c r="H62" s="31"/>
    </row>
  </sheetData>
  <mergeCells count="6">
    <mergeCell ref="B11:H11"/>
    <mergeCell ref="B5:H5"/>
    <mergeCell ref="B7:H7"/>
    <mergeCell ref="B8:H8"/>
    <mergeCell ref="B9:H9"/>
    <mergeCell ref="B10:H10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AF73-FCA8-4184-9492-F839BA5F7943}">
  <sheetPr>
    <pageSetUpPr fitToPage="1"/>
  </sheetPr>
  <dimension ref="A1:Q62"/>
  <sheetViews>
    <sheetView tabSelected="1" topLeftCell="A25" zoomScaleNormal="100" workbookViewId="0">
      <selection activeCell="L35" sqref="L35"/>
    </sheetView>
  </sheetViews>
  <sheetFormatPr defaultColWidth="9.140625" defaultRowHeight="15" x14ac:dyDescent="0.25"/>
  <cols>
    <col min="1" max="1" width="4" style="1" customWidth="1"/>
    <col min="2" max="2" width="50.140625" style="1" customWidth="1"/>
    <col min="3" max="3" width="6.140625" style="1" customWidth="1"/>
    <col min="4" max="4" width="16.7109375" style="1" customWidth="1"/>
    <col min="5" max="5" width="4.42578125" style="1" customWidth="1"/>
    <col min="6" max="6" width="15.28515625" style="1" customWidth="1"/>
    <col min="7" max="7" width="3.85546875" style="43" customWidth="1"/>
    <col min="8" max="8" width="13.140625" style="1" customWidth="1"/>
    <col min="9" max="9" width="4" style="1" customWidth="1"/>
    <col min="10" max="10" width="9.140625" style="1"/>
    <col min="11" max="11" width="13.140625" style="1" bestFit="1" customWidth="1"/>
    <col min="12" max="12" width="9.42578125" style="1" bestFit="1" customWidth="1"/>
    <col min="13" max="13" width="12.42578125" style="1" bestFit="1" customWidth="1"/>
    <col min="14" max="14" width="9.140625" style="1"/>
    <col min="15" max="15" width="12.42578125" style="1" bestFit="1" customWidth="1"/>
    <col min="16" max="16" width="9.140625" style="1"/>
    <col min="17" max="17" width="12.42578125" style="1" bestFit="1" customWidth="1"/>
    <col min="18" max="16384" width="9.140625" style="1"/>
  </cols>
  <sheetData>
    <row r="1" spans="1:9" ht="15.75" x14ac:dyDescent="0.25">
      <c r="H1" s="4"/>
    </row>
    <row r="2" spans="1:9" ht="18.75" x14ac:dyDescent="0.3">
      <c r="A2"/>
      <c r="B2" s="5"/>
      <c r="C2" s="6"/>
      <c r="D2" s="7"/>
      <c r="E2" s="7"/>
      <c r="F2" s="8"/>
      <c r="G2" s="8"/>
      <c r="H2" s="9" t="s">
        <v>56</v>
      </c>
    </row>
    <row r="3" spans="1:9" ht="18.75" x14ac:dyDescent="0.3">
      <c r="A3"/>
      <c r="B3" s="10"/>
      <c r="C3" s="10"/>
      <c r="D3" s="11"/>
      <c r="E3" s="11"/>
      <c r="F3" s="2"/>
      <c r="G3" s="3"/>
      <c r="H3" s="2"/>
      <c r="I3" s="2"/>
    </row>
    <row r="4" spans="1:9" ht="18.75" x14ac:dyDescent="0.3">
      <c r="A4"/>
      <c r="B4" s="10"/>
      <c r="C4" s="10"/>
      <c r="D4" s="11"/>
      <c r="E4" s="11"/>
      <c r="F4" s="2"/>
      <c r="G4" s="3"/>
      <c r="H4" s="2"/>
      <c r="I4" s="2"/>
    </row>
    <row r="5" spans="1:9" ht="15.75" x14ac:dyDescent="0.25">
      <c r="A5" s="12"/>
      <c r="B5" s="85" t="s">
        <v>0</v>
      </c>
      <c r="C5" s="85"/>
      <c r="D5" s="85"/>
      <c r="E5" s="85"/>
      <c r="F5" s="85"/>
      <c r="G5" s="85"/>
      <c r="H5" s="85"/>
      <c r="I5" s="16"/>
    </row>
    <row r="6" spans="1:9" x14ac:dyDescent="0.25">
      <c r="A6" s="12"/>
      <c r="B6" s="14"/>
      <c r="C6" s="14"/>
      <c r="D6" s="14"/>
      <c r="E6" s="14"/>
      <c r="F6" s="14"/>
      <c r="G6" s="15"/>
      <c r="H6" s="14"/>
      <c r="I6" s="14"/>
    </row>
    <row r="7" spans="1:9" ht="15.75" x14ac:dyDescent="0.25">
      <c r="A7" s="12"/>
      <c r="B7" s="85" t="s">
        <v>1</v>
      </c>
      <c r="C7" s="85"/>
      <c r="D7" s="85"/>
      <c r="E7" s="85"/>
      <c r="F7" s="85"/>
      <c r="G7" s="85"/>
      <c r="H7" s="85"/>
      <c r="I7" s="13"/>
    </row>
    <row r="8" spans="1:9" ht="15.75" x14ac:dyDescent="0.25">
      <c r="A8" s="12"/>
      <c r="B8" s="85" t="s">
        <v>2</v>
      </c>
      <c r="C8" s="85"/>
      <c r="D8" s="85"/>
      <c r="E8" s="85"/>
      <c r="F8" s="85"/>
      <c r="G8" s="85"/>
      <c r="H8" s="85"/>
      <c r="I8" s="13"/>
    </row>
    <row r="9" spans="1:9" ht="15.75" x14ac:dyDescent="0.25">
      <c r="A9" s="12"/>
      <c r="B9" s="85" t="s">
        <v>3</v>
      </c>
      <c r="C9" s="85"/>
      <c r="D9" s="85"/>
      <c r="E9" s="85"/>
      <c r="F9" s="85"/>
      <c r="G9" s="85"/>
      <c r="H9" s="85"/>
      <c r="I9" s="13"/>
    </row>
    <row r="10" spans="1:9" ht="18.75" x14ac:dyDescent="0.25">
      <c r="A10" s="12"/>
      <c r="B10" s="85" t="s">
        <v>47</v>
      </c>
      <c r="C10" s="85"/>
      <c r="D10" s="85"/>
      <c r="E10" s="85"/>
      <c r="F10" s="85"/>
      <c r="G10" s="85"/>
      <c r="H10" s="85"/>
      <c r="I10" s="13"/>
    </row>
    <row r="11" spans="1:9" ht="15.75" x14ac:dyDescent="0.25">
      <c r="A11" s="12"/>
      <c r="B11" s="85" t="s">
        <v>4</v>
      </c>
      <c r="C11" s="85"/>
      <c r="D11" s="85"/>
      <c r="E11" s="85"/>
      <c r="F11" s="85"/>
      <c r="G11" s="85"/>
      <c r="H11" s="85"/>
      <c r="I11" s="13"/>
    </row>
    <row r="12" spans="1:9" ht="15.75" x14ac:dyDescent="0.25">
      <c r="A12" s="12"/>
      <c r="B12" s="13"/>
      <c r="C12" s="13"/>
      <c r="D12" s="13"/>
      <c r="E12" s="13"/>
      <c r="F12" s="13"/>
      <c r="G12" s="15"/>
      <c r="H12" s="13"/>
    </row>
    <row r="13" spans="1:9" ht="15.75" x14ac:dyDescent="0.25">
      <c r="A13" s="12"/>
      <c r="B13" s="13"/>
      <c r="C13" s="13"/>
      <c r="D13" s="13" t="s">
        <v>5</v>
      </c>
      <c r="E13" s="13"/>
      <c r="F13" s="13" t="s">
        <v>6</v>
      </c>
      <c r="G13" s="15"/>
      <c r="H13" s="17" t="s">
        <v>5</v>
      </c>
    </row>
    <row r="14" spans="1:9" ht="15.75" x14ac:dyDescent="0.25">
      <c r="A14" s="12"/>
      <c r="B14" s="13"/>
      <c r="C14" s="13"/>
      <c r="D14" s="13" t="s">
        <v>7</v>
      </c>
      <c r="E14" s="13"/>
      <c r="F14" s="13">
        <v>2024</v>
      </c>
      <c r="G14" s="15"/>
      <c r="H14" s="17" t="s">
        <v>8</v>
      </c>
    </row>
    <row r="15" spans="1:9" ht="18.75" x14ac:dyDescent="0.25">
      <c r="A15" s="12"/>
      <c r="B15" s="13"/>
      <c r="C15" s="13"/>
      <c r="D15" s="18" t="s">
        <v>9</v>
      </c>
      <c r="E15" s="13"/>
      <c r="F15" s="19" t="s">
        <v>10</v>
      </c>
      <c r="G15" s="15"/>
      <c r="H15" s="19" t="s">
        <v>10</v>
      </c>
    </row>
    <row r="16" spans="1:9" x14ac:dyDescent="0.25">
      <c r="A16" s="20"/>
      <c r="B16" s="21"/>
      <c r="C16" s="21"/>
      <c r="D16" s="22"/>
      <c r="E16" s="22"/>
      <c r="F16" s="22"/>
      <c r="G16" s="23"/>
      <c r="H16" s="22"/>
    </row>
    <row r="17" spans="1:17" ht="18" x14ac:dyDescent="0.25">
      <c r="A17" s="24">
        <v>1</v>
      </c>
      <c r="B17" s="20" t="s">
        <v>11</v>
      </c>
      <c r="C17" s="25"/>
      <c r="D17" s="26">
        <f>777093+144-6237-7027</f>
        <v>763973</v>
      </c>
      <c r="E17" s="27"/>
      <c r="F17" s="26">
        <v>5113</v>
      </c>
      <c r="G17" s="28"/>
      <c r="H17" s="26">
        <f>D17+F17</f>
        <v>769086</v>
      </c>
    </row>
    <row r="18" spans="1:17" x14ac:dyDescent="0.25">
      <c r="A18" s="24">
        <f>A17+1</f>
        <v>2</v>
      </c>
      <c r="B18" s="20" t="s">
        <v>12</v>
      </c>
      <c r="C18" s="25"/>
      <c r="D18" s="26">
        <f>522703+118-11370</f>
        <v>511451</v>
      </c>
      <c r="E18" s="26"/>
      <c r="F18" s="26">
        <v>0</v>
      </c>
      <c r="G18" s="29"/>
      <c r="H18" s="26">
        <f>D18+F18</f>
        <v>511451</v>
      </c>
    </row>
    <row r="19" spans="1:17" x14ac:dyDescent="0.25">
      <c r="A19" s="24">
        <f t="shared" ref="A19:A38" si="0">A18+1</f>
        <v>3</v>
      </c>
      <c r="B19" s="20" t="s">
        <v>13</v>
      </c>
      <c r="C19" s="25"/>
      <c r="D19" s="30">
        <f>D17-D18</f>
        <v>252522</v>
      </c>
      <c r="E19" s="26"/>
      <c r="F19" s="30">
        <f>F17-F18</f>
        <v>5113</v>
      </c>
      <c r="G19" s="29"/>
      <c r="H19" s="30">
        <f>H17-H18</f>
        <v>257635</v>
      </c>
      <c r="J19" s="31"/>
    </row>
    <row r="20" spans="1:17" x14ac:dyDescent="0.25">
      <c r="A20" s="24">
        <f t="shared" si="0"/>
        <v>4</v>
      </c>
      <c r="B20" s="20"/>
      <c r="C20" s="25"/>
      <c r="D20" s="26"/>
      <c r="E20" s="26"/>
      <c r="F20" s="26"/>
      <c r="G20" s="29"/>
      <c r="H20" s="26"/>
    </row>
    <row r="21" spans="1:17" ht="18" x14ac:dyDescent="0.25">
      <c r="A21" s="24">
        <f t="shared" si="0"/>
        <v>5</v>
      </c>
      <c r="B21" s="20" t="s">
        <v>14</v>
      </c>
      <c r="C21" s="25"/>
      <c r="D21" s="32">
        <v>9789</v>
      </c>
      <c r="E21" s="26"/>
      <c r="F21" s="32">
        <v>237</v>
      </c>
      <c r="G21" s="28"/>
      <c r="H21" s="32">
        <f>D21+F21</f>
        <v>10026</v>
      </c>
      <c r="J21" s="33"/>
      <c r="K21" s="34"/>
      <c r="L21" s="35"/>
    </row>
    <row r="22" spans="1:17" x14ac:dyDescent="0.25">
      <c r="A22" s="24">
        <f t="shared" si="0"/>
        <v>6</v>
      </c>
      <c r="B22" s="20"/>
      <c r="C22" s="25"/>
      <c r="D22" s="26"/>
      <c r="E22" s="26"/>
      <c r="F22" s="26"/>
      <c r="G22" s="29"/>
      <c r="H22" s="26"/>
      <c r="J22" s="36"/>
      <c r="K22" s="36"/>
      <c r="L22" s="37"/>
    </row>
    <row r="23" spans="1:17" x14ac:dyDescent="0.25">
      <c r="A23" s="24">
        <f t="shared" si="0"/>
        <v>7</v>
      </c>
      <c r="B23" s="20" t="s">
        <v>15</v>
      </c>
      <c r="C23" s="25"/>
      <c r="D23" s="38"/>
      <c r="E23" s="26"/>
      <c r="F23" s="38"/>
      <c r="G23" s="29"/>
      <c r="H23" s="38"/>
      <c r="J23" s="36"/>
      <c r="K23" s="36"/>
      <c r="L23" s="37"/>
    </row>
    <row r="24" spans="1:17" x14ac:dyDescent="0.25">
      <c r="A24" s="24">
        <f t="shared" si="0"/>
        <v>8</v>
      </c>
      <c r="B24" s="20" t="s">
        <v>16</v>
      </c>
      <c r="C24" s="25"/>
      <c r="D24" s="26">
        <v>78775</v>
      </c>
      <c r="E24" s="26"/>
      <c r="F24" s="26">
        <v>0</v>
      </c>
      <c r="G24" s="29"/>
      <c r="H24" s="26">
        <f t="shared" ref="H24:H29" si="1">D24+F24</f>
        <v>78775</v>
      </c>
      <c r="I24" s="39"/>
      <c r="J24" s="36"/>
      <c r="K24" s="40"/>
      <c r="L24" s="37"/>
    </row>
    <row r="25" spans="1:17" x14ac:dyDescent="0.25">
      <c r="A25" s="24">
        <f t="shared" si="0"/>
        <v>9</v>
      </c>
      <c r="B25" s="20" t="s">
        <v>17</v>
      </c>
      <c r="C25" s="25"/>
      <c r="D25" s="26">
        <f>2977+33</f>
        <v>3010</v>
      </c>
      <c r="E25" s="26"/>
      <c r="F25" s="26">
        <v>0</v>
      </c>
      <c r="G25" s="29"/>
      <c r="H25" s="26">
        <f t="shared" si="1"/>
        <v>3010</v>
      </c>
      <c r="I25" s="39"/>
      <c r="J25" s="36"/>
      <c r="K25" s="36"/>
      <c r="L25" s="37"/>
    </row>
    <row r="26" spans="1:17" ht="18" x14ac:dyDescent="0.25">
      <c r="A26" s="24">
        <f t="shared" si="0"/>
        <v>10</v>
      </c>
      <c r="B26" s="20" t="s">
        <v>18</v>
      </c>
      <c r="C26" s="25"/>
      <c r="D26" s="34">
        <v>-240</v>
      </c>
      <c r="E26" s="26"/>
      <c r="F26" s="26">
        <v>-6722</v>
      </c>
      <c r="G26" s="28"/>
      <c r="H26" s="34">
        <f t="shared" si="1"/>
        <v>-6962</v>
      </c>
      <c r="I26" s="39"/>
      <c r="J26" s="41"/>
      <c r="K26" s="26"/>
      <c r="L26" s="42"/>
    </row>
    <row r="27" spans="1:17" x14ac:dyDescent="0.25">
      <c r="A27" s="24">
        <f t="shared" si="0"/>
        <v>11</v>
      </c>
      <c r="B27" s="20" t="s">
        <v>19</v>
      </c>
      <c r="C27" s="25"/>
      <c r="D27" s="26">
        <f>79557</f>
        <v>79557</v>
      </c>
      <c r="E27" s="26"/>
      <c r="F27" s="26">
        <v>0</v>
      </c>
      <c r="G27" s="29"/>
      <c r="H27" s="26">
        <f t="shared" si="1"/>
        <v>79557</v>
      </c>
      <c r="I27" s="39"/>
      <c r="J27" s="39"/>
      <c r="L27" s="43"/>
    </row>
    <row r="28" spans="1:17" ht="18" x14ac:dyDescent="0.25">
      <c r="A28" s="24">
        <f t="shared" si="0"/>
        <v>12</v>
      </c>
      <c r="B28" s="20" t="s">
        <v>41</v>
      </c>
      <c r="C28" s="20"/>
      <c r="D28" s="26">
        <f>41688+13</f>
        <v>41701</v>
      </c>
      <c r="E28" s="26"/>
      <c r="F28" s="26">
        <v>-94</v>
      </c>
      <c r="G28" s="28"/>
      <c r="H28" s="26">
        <f t="shared" si="1"/>
        <v>41607</v>
      </c>
      <c r="I28" s="39"/>
      <c r="J28" s="39"/>
      <c r="L28" s="43"/>
    </row>
    <row r="29" spans="1:17" x14ac:dyDescent="0.25">
      <c r="A29" s="24">
        <f t="shared" si="0"/>
        <v>13</v>
      </c>
      <c r="B29" s="20"/>
      <c r="C29" s="20"/>
      <c r="D29" s="30">
        <f>SUM(D24:D28)</f>
        <v>202803</v>
      </c>
      <c r="E29" s="26"/>
      <c r="F29" s="30">
        <f>SUM(F24:F28)</f>
        <v>-6816</v>
      </c>
      <c r="G29" s="29"/>
      <c r="H29" s="30">
        <f t="shared" si="1"/>
        <v>195987</v>
      </c>
      <c r="I29" s="39"/>
      <c r="J29" s="44"/>
      <c r="K29" s="45"/>
      <c r="L29" s="43"/>
    </row>
    <row r="30" spans="1:17" x14ac:dyDescent="0.25">
      <c r="A30" s="24">
        <f t="shared" si="0"/>
        <v>14</v>
      </c>
      <c r="B30" s="20"/>
      <c r="C30" s="46"/>
      <c r="D30" s="38"/>
      <c r="E30" s="38"/>
      <c r="F30" s="38"/>
      <c r="G30" s="47"/>
      <c r="H30" s="38"/>
      <c r="J30" s="45"/>
      <c r="K30" s="48"/>
      <c r="L30" s="43"/>
    </row>
    <row r="31" spans="1:17" x14ac:dyDescent="0.25">
      <c r="A31" s="24">
        <f t="shared" si="0"/>
        <v>15</v>
      </c>
      <c r="B31" s="20" t="s">
        <v>20</v>
      </c>
      <c r="C31" s="20"/>
      <c r="D31" s="34">
        <f>D19+D21-D29</f>
        <v>59508</v>
      </c>
      <c r="E31" s="26"/>
      <c r="F31" s="26">
        <f>F19+F21-F29</f>
        <v>12166</v>
      </c>
      <c r="G31" s="29"/>
      <c r="H31" s="34">
        <f>D31+F31</f>
        <v>71674</v>
      </c>
      <c r="I31" s="39"/>
      <c r="J31" s="49"/>
      <c r="K31" s="54"/>
      <c r="L31" s="43"/>
      <c r="M31" s="54"/>
      <c r="O31" s="54"/>
      <c r="Q31" s="84"/>
    </row>
    <row r="32" spans="1:17" ht="18" x14ac:dyDescent="0.25">
      <c r="A32" s="24">
        <f t="shared" si="0"/>
        <v>16</v>
      </c>
      <c r="B32" s="20" t="s">
        <v>42</v>
      </c>
      <c r="C32" s="46"/>
      <c r="D32" s="32">
        <f>18749-(1895*0.3)-1</f>
        <v>18179.5</v>
      </c>
      <c r="E32" s="50"/>
      <c r="F32" s="32">
        <f>F31*0.3</f>
        <v>3649.7999999999997</v>
      </c>
      <c r="G32" s="51"/>
      <c r="H32" s="32">
        <f>D32+F32+1</f>
        <v>21830.3</v>
      </c>
      <c r="I32" s="39"/>
      <c r="J32" s="45"/>
      <c r="K32" s="52"/>
      <c r="L32" s="43"/>
    </row>
    <row r="33" spans="1:17" x14ac:dyDescent="0.25">
      <c r="A33" s="24">
        <f t="shared" si="0"/>
        <v>17</v>
      </c>
      <c r="B33" s="20"/>
      <c r="C33" s="20"/>
      <c r="D33" s="33"/>
      <c r="E33" s="33"/>
      <c r="F33" s="33"/>
      <c r="G33" s="35"/>
      <c r="H33" s="33"/>
      <c r="I33" s="39"/>
    </row>
    <row r="34" spans="1:17" ht="15.75" thickBot="1" x14ac:dyDescent="0.3">
      <c r="A34" s="24">
        <f t="shared" si="0"/>
        <v>18</v>
      </c>
      <c r="B34" s="20" t="s">
        <v>21</v>
      </c>
      <c r="C34" s="20"/>
      <c r="D34" s="53">
        <f>D31-D32-1</f>
        <v>41327.5</v>
      </c>
      <c r="E34" s="33"/>
      <c r="F34" s="53">
        <f>F31-F32</f>
        <v>8516.2000000000007</v>
      </c>
      <c r="G34" s="35"/>
      <c r="H34" s="53">
        <f>D34+F34</f>
        <v>49843.7</v>
      </c>
      <c r="I34" s="39"/>
      <c r="J34" s="31"/>
      <c r="K34" s="31"/>
      <c r="M34" s="31"/>
      <c r="O34" s="31"/>
      <c r="Q34" s="84"/>
    </row>
    <row r="35" spans="1:17" x14ac:dyDescent="0.25">
      <c r="A35" s="24">
        <f t="shared" si="0"/>
        <v>19</v>
      </c>
      <c r="B35" s="20"/>
      <c r="C35" s="20"/>
      <c r="D35" s="55"/>
      <c r="E35" s="36"/>
      <c r="F35" s="36"/>
      <c r="G35" s="37"/>
      <c r="H35" s="36"/>
    </row>
    <row r="36" spans="1:17" x14ac:dyDescent="0.25">
      <c r="A36" s="24">
        <f t="shared" si="0"/>
        <v>20</v>
      </c>
      <c r="B36" s="20"/>
      <c r="C36" s="20"/>
      <c r="D36" s="36"/>
      <c r="E36" s="36"/>
      <c r="F36" s="36"/>
      <c r="G36" s="37"/>
      <c r="H36" s="36"/>
    </row>
    <row r="37" spans="1:17" x14ac:dyDescent="0.25">
      <c r="A37" s="24">
        <f t="shared" si="0"/>
        <v>21</v>
      </c>
      <c r="B37" s="20" t="s">
        <v>22</v>
      </c>
      <c r="C37" s="20"/>
      <c r="D37" s="56">
        <f>(D34/(602221+(H48/2)))*100</f>
        <v>6.8700688004288857</v>
      </c>
      <c r="E37" s="36"/>
      <c r="F37" s="40"/>
      <c r="G37" s="37"/>
      <c r="H37" s="56">
        <f>(H34/(606680+(H48/2)))*100</f>
        <v>8.2247920956110612</v>
      </c>
      <c r="I37" s="39"/>
      <c r="J37" s="39"/>
    </row>
    <row r="38" spans="1:17" x14ac:dyDescent="0.25">
      <c r="A38" s="24">
        <f t="shared" si="0"/>
        <v>22</v>
      </c>
      <c r="B38" s="20"/>
      <c r="C38" s="20"/>
      <c r="D38" s="36"/>
      <c r="E38" s="36"/>
      <c r="F38" s="36"/>
      <c r="G38" s="37"/>
      <c r="H38" s="36"/>
      <c r="I38" s="39"/>
      <c r="J38" s="39"/>
    </row>
    <row r="39" spans="1:17" x14ac:dyDescent="0.25">
      <c r="A39" s="24">
        <v>23</v>
      </c>
      <c r="B39" s="20" t="s">
        <v>23</v>
      </c>
      <c r="C39" s="20"/>
      <c r="D39" s="27">
        <f>84281-D48+F48</f>
        <v>82955.5</v>
      </c>
      <c r="E39" s="39"/>
      <c r="F39" s="39"/>
      <c r="G39" s="57"/>
      <c r="H39" s="27">
        <f>92703-51169+H34</f>
        <v>91377.7</v>
      </c>
      <c r="I39" s="39"/>
      <c r="J39" s="39"/>
      <c r="K39" s="31"/>
    </row>
    <row r="40" spans="1:17" x14ac:dyDescent="0.25">
      <c r="A40" s="24">
        <v>24</v>
      </c>
      <c r="B40" s="20" t="s">
        <v>30</v>
      </c>
      <c r="C40" s="20"/>
      <c r="D40" s="26">
        <v>1357684</v>
      </c>
      <c r="E40" s="39"/>
      <c r="F40" s="39"/>
      <c r="G40" s="57"/>
      <c r="H40" s="26">
        <v>1360058</v>
      </c>
      <c r="I40" s="39"/>
      <c r="J40" s="39"/>
    </row>
    <row r="41" spans="1:17" x14ac:dyDescent="0.25">
      <c r="A41" s="24">
        <v>25</v>
      </c>
      <c r="B41" s="20" t="s">
        <v>24</v>
      </c>
      <c r="C41" s="20"/>
      <c r="D41" s="58">
        <f>D39/D40*100</f>
        <v>6.1100742146184235</v>
      </c>
      <c r="E41" s="58"/>
      <c r="F41" s="58"/>
      <c r="G41" s="69"/>
      <c r="H41" s="58">
        <f>H39/H40*100</f>
        <v>6.7186619982383107</v>
      </c>
      <c r="I41" s="39"/>
      <c r="J41" s="39"/>
    </row>
    <row r="42" spans="1:17" x14ac:dyDescent="0.25">
      <c r="A42" s="24"/>
      <c r="B42" s="20"/>
      <c r="C42" s="20"/>
      <c r="D42" s="36"/>
      <c r="E42" s="36"/>
      <c r="F42" s="36"/>
      <c r="G42" s="37"/>
      <c r="H42" s="36"/>
      <c r="I42" s="39"/>
      <c r="J42" s="39"/>
    </row>
    <row r="43" spans="1:17" x14ac:dyDescent="0.25">
      <c r="A43" s="24"/>
      <c r="B43" s="20"/>
      <c r="C43" s="20"/>
      <c r="D43" s="36"/>
      <c r="E43" s="36"/>
      <c r="F43" s="36"/>
      <c r="G43" s="37"/>
      <c r="H43" s="36"/>
      <c r="I43" s="39"/>
      <c r="J43" s="39"/>
    </row>
    <row r="44" spans="1:17" x14ac:dyDescent="0.25">
      <c r="A44" s="59">
        <v>1</v>
      </c>
      <c r="B44" s="60" t="s">
        <v>53</v>
      </c>
      <c r="C44" s="39"/>
      <c r="D44" s="39"/>
      <c r="E44" s="39"/>
      <c r="F44" s="39"/>
      <c r="I44" s="39"/>
      <c r="J44" s="39"/>
    </row>
    <row r="45" spans="1:17" x14ac:dyDescent="0.25">
      <c r="A45" s="59"/>
      <c r="B45" s="60" t="s">
        <v>54</v>
      </c>
      <c r="C45" s="39"/>
      <c r="D45" s="39"/>
      <c r="E45" s="39"/>
      <c r="F45" s="39"/>
      <c r="I45" s="39"/>
      <c r="J45" s="39"/>
    </row>
    <row r="46" spans="1:17" x14ac:dyDescent="0.25">
      <c r="A46" s="59"/>
      <c r="B46" s="60" t="s">
        <v>45</v>
      </c>
      <c r="C46" s="39"/>
      <c r="D46" s="39"/>
      <c r="E46" s="39"/>
      <c r="F46" s="39"/>
      <c r="I46" s="39"/>
      <c r="J46" s="39"/>
    </row>
    <row r="47" spans="1:17" ht="24.75" x14ac:dyDescent="0.25">
      <c r="B47" s="60"/>
      <c r="C47" s="39"/>
      <c r="D47" s="79" t="s">
        <v>25</v>
      </c>
      <c r="E47" s="80"/>
      <c r="F47" s="79" t="s">
        <v>37</v>
      </c>
      <c r="G47" s="81"/>
      <c r="H47" s="79" t="s">
        <v>44</v>
      </c>
      <c r="I47" s="39"/>
      <c r="J47" s="39"/>
    </row>
    <row r="48" spans="1:17" x14ac:dyDescent="0.25">
      <c r="B48" s="61" t="s">
        <v>21</v>
      </c>
      <c r="C48" s="39"/>
      <c r="D48" s="70">
        <v>42653</v>
      </c>
      <c r="E48" s="70"/>
      <c r="F48" s="70">
        <f>D34</f>
        <v>41327.5</v>
      </c>
      <c r="H48" s="62">
        <f>F48-D48+1</f>
        <v>-1324.5</v>
      </c>
      <c r="I48" s="39"/>
      <c r="J48" s="39"/>
    </row>
    <row r="49" spans="1:10" x14ac:dyDescent="0.25">
      <c r="B49" s="61" t="s">
        <v>27</v>
      </c>
      <c r="C49" s="39"/>
      <c r="D49" s="71">
        <v>8845</v>
      </c>
      <c r="E49" s="70"/>
      <c r="F49" s="63">
        <f>ROUND(((606680+(H48/2))*0.085+1)-71-F48,0)</f>
        <v>10114</v>
      </c>
      <c r="H49" s="63">
        <f>F49-D49</f>
        <v>1269</v>
      </c>
      <c r="I49" s="39"/>
      <c r="J49" s="39"/>
    </row>
    <row r="50" spans="1:10" x14ac:dyDescent="0.25">
      <c r="B50" s="61" t="s">
        <v>43</v>
      </c>
      <c r="D50" s="70">
        <f>D48+D49</f>
        <v>51498</v>
      </c>
      <c r="E50" s="70"/>
      <c r="F50" s="70">
        <f>F48+F49</f>
        <v>51441.5</v>
      </c>
      <c r="H50" s="62">
        <f>F50-D50+1</f>
        <v>-55.5</v>
      </c>
      <c r="I50" s="39"/>
      <c r="J50" s="39"/>
    </row>
    <row r="51" spans="1:10" x14ac:dyDescent="0.25">
      <c r="A51" s="59"/>
      <c r="B51" s="45"/>
      <c r="D51" s="70"/>
      <c r="E51" s="70"/>
      <c r="F51" s="70"/>
      <c r="I51" s="39"/>
      <c r="J51" s="39"/>
    </row>
    <row r="52" spans="1:10" x14ac:dyDescent="0.25">
      <c r="A52" s="59"/>
      <c r="B52" s="45" t="s">
        <v>52</v>
      </c>
      <c r="D52" s="70"/>
      <c r="E52" s="70"/>
      <c r="F52" s="70"/>
      <c r="I52" s="39"/>
      <c r="J52" s="39"/>
    </row>
    <row r="53" spans="1:10" x14ac:dyDescent="0.25">
      <c r="A53" s="20"/>
      <c r="B53" s="20"/>
      <c r="C53" s="20"/>
      <c r="D53" s="72"/>
      <c r="E53" s="72"/>
      <c r="F53" s="72"/>
      <c r="G53" s="73"/>
      <c r="H53" s="72"/>
    </row>
    <row r="54" spans="1:10" ht="15.75" x14ac:dyDescent="0.25">
      <c r="A54" s="20"/>
      <c r="B54" s="65" t="s">
        <v>28</v>
      </c>
      <c r="C54" s="66"/>
      <c r="D54" s="66"/>
      <c r="E54" s="65"/>
      <c r="F54" s="66"/>
      <c r="G54" s="67"/>
      <c r="H54" s="68" t="s">
        <v>31</v>
      </c>
    </row>
    <row r="55" spans="1:10" x14ac:dyDescent="0.25">
      <c r="B55" s="39"/>
      <c r="C55" s="39"/>
    </row>
    <row r="56" spans="1:10" x14ac:dyDescent="0.25">
      <c r="B56" s="39"/>
      <c r="C56" s="39"/>
    </row>
    <row r="57" spans="1:10" x14ac:dyDescent="0.25">
      <c r="B57" s="60"/>
      <c r="C57" s="39"/>
    </row>
    <row r="58" spans="1:10" x14ac:dyDescent="0.25">
      <c r="B58" s="39"/>
      <c r="C58" s="39"/>
      <c r="D58" s="31"/>
      <c r="H58" s="31"/>
    </row>
    <row r="59" spans="1:10" x14ac:dyDescent="0.25">
      <c r="B59" s="39"/>
      <c r="C59" s="39"/>
      <c r="D59" s="64"/>
      <c r="F59" s="64"/>
      <c r="H59" s="64"/>
      <c r="J59" s="64"/>
    </row>
    <row r="62" spans="1:10" x14ac:dyDescent="0.25">
      <c r="D62" s="31"/>
      <c r="H62" s="31"/>
    </row>
  </sheetData>
  <mergeCells count="6">
    <mergeCell ref="B11:H11"/>
    <mergeCell ref="B5:H5"/>
    <mergeCell ref="B7:H7"/>
    <mergeCell ref="B8:H8"/>
    <mergeCell ref="B9:H9"/>
    <mergeCell ref="B10:H10"/>
  </mergeCells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EBAA-8694-4193-AB23-6D53DBE08F10}">
  <sheetPr>
    <pageSetUpPr fitToPage="1"/>
  </sheetPr>
  <dimension ref="A1:Q62"/>
  <sheetViews>
    <sheetView zoomScaleNormal="100" workbookViewId="0">
      <selection activeCell="H3" sqref="H3"/>
    </sheetView>
  </sheetViews>
  <sheetFormatPr defaultColWidth="9.140625" defaultRowHeight="15" x14ac:dyDescent="0.25"/>
  <cols>
    <col min="1" max="1" width="4" style="1" customWidth="1"/>
    <col min="2" max="2" width="50.140625" style="1" customWidth="1"/>
    <col min="3" max="3" width="8.85546875" style="1" customWidth="1"/>
    <col min="4" max="4" width="18" style="1" customWidth="1"/>
    <col min="5" max="5" width="4.42578125" style="1" customWidth="1"/>
    <col min="6" max="6" width="13" style="1" customWidth="1"/>
    <col min="7" max="7" width="3.85546875" style="43" customWidth="1"/>
    <col min="8" max="8" width="13.140625" style="1" customWidth="1"/>
    <col min="9" max="9" width="4" style="1" customWidth="1"/>
    <col min="10" max="10" width="9.140625" style="1"/>
    <col min="11" max="11" width="13.140625" style="1" bestFit="1" customWidth="1"/>
    <col min="12" max="12" width="9.140625" style="1"/>
    <col min="13" max="13" width="12.42578125" style="1" bestFit="1" customWidth="1"/>
    <col min="14" max="14" width="9.140625" style="1"/>
    <col min="15" max="15" width="12.42578125" style="1" bestFit="1" customWidth="1"/>
    <col min="16" max="16" width="9.140625" style="1"/>
    <col min="17" max="17" width="12.42578125" style="1" bestFit="1" customWidth="1"/>
    <col min="18" max="16384" width="9.140625" style="1"/>
  </cols>
  <sheetData>
    <row r="1" spans="1:9" ht="15.75" x14ac:dyDescent="0.25">
      <c r="H1" s="4"/>
    </row>
    <row r="2" spans="1:9" ht="18.75" x14ac:dyDescent="0.3">
      <c r="A2"/>
      <c r="B2" s="5"/>
      <c r="C2" s="6"/>
      <c r="D2" s="7"/>
      <c r="E2" s="7"/>
      <c r="F2" s="8"/>
      <c r="G2" s="8"/>
      <c r="H2" s="9" t="s">
        <v>56</v>
      </c>
    </row>
    <row r="3" spans="1:9" ht="18.75" x14ac:dyDescent="0.3">
      <c r="A3"/>
      <c r="B3" s="10"/>
      <c r="C3" s="10"/>
      <c r="D3" s="11"/>
      <c r="E3" s="11"/>
      <c r="F3" s="2"/>
      <c r="G3" s="3"/>
      <c r="H3" s="2"/>
      <c r="I3" s="2"/>
    </row>
    <row r="4" spans="1:9" ht="18.75" x14ac:dyDescent="0.3">
      <c r="A4"/>
      <c r="B4" s="10"/>
      <c r="C4" s="10"/>
      <c r="D4" s="11"/>
      <c r="E4" s="11"/>
      <c r="F4" s="2"/>
      <c r="G4" s="3"/>
      <c r="H4" s="2"/>
      <c r="I4" s="2"/>
    </row>
    <row r="5" spans="1:9" ht="15.75" x14ac:dyDescent="0.25">
      <c r="A5" s="12"/>
      <c r="B5" s="85" t="s">
        <v>0</v>
      </c>
      <c r="C5" s="85"/>
      <c r="D5" s="85"/>
      <c r="E5" s="85"/>
      <c r="F5" s="85"/>
      <c r="G5" s="85"/>
      <c r="H5" s="85"/>
      <c r="I5" s="16"/>
    </row>
    <row r="6" spans="1:9" x14ac:dyDescent="0.25">
      <c r="A6" s="12"/>
      <c r="B6" s="14"/>
      <c r="C6" s="14"/>
      <c r="D6" s="14"/>
      <c r="E6" s="14"/>
      <c r="F6" s="14"/>
      <c r="G6" s="15"/>
      <c r="H6" s="14"/>
      <c r="I6" s="14"/>
    </row>
    <row r="7" spans="1:9" ht="15.75" x14ac:dyDescent="0.25">
      <c r="A7" s="12"/>
      <c r="B7" s="85" t="s">
        <v>1</v>
      </c>
      <c r="C7" s="85"/>
      <c r="D7" s="85"/>
      <c r="E7" s="85"/>
      <c r="F7" s="85"/>
      <c r="G7" s="85"/>
      <c r="H7" s="85"/>
      <c r="I7" s="13"/>
    </row>
    <row r="8" spans="1:9" ht="15.75" x14ac:dyDescent="0.25">
      <c r="A8" s="12"/>
      <c r="B8" s="85" t="s">
        <v>2</v>
      </c>
      <c r="C8" s="85"/>
      <c r="D8" s="85"/>
      <c r="E8" s="85"/>
      <c r="F8" s="85"/>
      <c r="G8" s="85"/>
      <c r="H8" s="85"/>
      <c r="I8" s="13"/>
    </row>
    <row r="9" spans="1:9" ht="15.75" x14ac:dyDescent="0.25">
      <c r="A9" s="12"/>
      <c r="B9" s="85" t="s">
        <v>3</v>
      </c>
      <c r="C9" s="85"/>
      <c r="D9" s="85"/>
      <c r="E9" s="85"/>
      <c r="F9" s="85"/>
      <c r="G9" s="85"/>
      <c r="H9" s="85"/>
      <c r="I9" s="13"/>
    </row>
    <row r="10" spans="1:9" ht="18.75" x14ac:dyDescent="0.25">
      <c r="A10" s="12"/>
      <c r="B10" s="85" t="s">
        <v>48</v>
      </c>
      <c r="C10" s="85"/>
      <c r="D10" s="85"/>
      <c r="E10" s="85"/>
      <c r="F10" s="85"/>
      <c r="G10" s="85"/>
      <c r="H10" s="85"/>
      <c r="I10" s="13"/>
    </row>
    <row r="11" spans="1:9" ht="15.75" x14ac:dyDescent="0.25">
      <c r="A11" s="12"/>
      <c r="B11" s="85" t="s">
        <v>4</v>
      </c>
      <c r="C11" s="85"/>
      <c r="D11" s="85"/>
      <c r="E11" s="85"/>
      <c r="F11" s="85"/>
      <c r="G11" s="85"/>
      <c r="H11" s="85"/>
      <c r="I11" s="13"/>
    </row>
    <row r="12" spans="1:9" ht="15.75" x14ac:dyDescent="0.25">
      <c r="A12" s="12"/>
      <c r="B12" s="13"/>
      <c r="C12" s="13"/>
      <c r="D12" s="13"/>
      <c r="E12" s="13"/>
      <c r="F12" s="13"/>
      <c r="G12" s="15"/>
      <c r="H12" s="13"/>
    </row>
    <row r="13" spans="1:9" ht="15.75" x14ac:dyDescent="0.25">
      <c r="A13" s="12"/>
      <c r="B13" s="13"/>
      <c r="C13" s="13"/>
      <c r="D13" s="13" t="s">
        <v>5</v>
      </c>
      <c r="E13" s="13"/>
      <c r="F13" s="13" t="s">
        <v>6</v>
      </c>
      <c r="G13" s="15"/>
      <c r="H13" s="17" t="s">
        <v>5</v>
      </c>
    </row>
    <row r="14" spans="1:9" ht="15.75" x14ac:dyDescent="0.25">
      <c r="A14" s="12"/>
      <c r="B14" s="13"/>
      <c r="C14" s="13"/>
      <c r="D14" s="13" t="s">
        <v>7</v>
      </c>
      <c r="E14" s="13"/>
      <c r="F14" s="13">
        <v>2024</v>
      </c>
      <c r="G14" s="15"/>
      <c r="H14" s="17" t="s">
        <v>8</v>
      </c>
    </row>
    <row r="15" spans="1:9" ht="18.75" x14ac:dyDescent="0.25">
      <c r="A15" s="12"/>
      <c r="B15" s="13"/>
      <c r="C15" s="13"/>
      <c r="D15" s="18" t="s">
        <v>9</v>
      </c>
      <c r="E15" s="13"/>
      <c r="F15" s="19" t="s">
        <v>10</v>
      </c>
      <c r="G15" s="15"/>
      <c r="H15" s="19" t="s">
        <v>10</v>
      </c>
    </row>
    <row r="16" spans="1:9" x14ac:dyDescent="0.25">
      <c r="A16" s="20"/>
      <c r="B16" s="21"/>
      <c r="C16" s="21"/>
      <c r="D16" s="22"/>
      <c r="E16" s="22"/>
      <c r="F16" s="22"/>
      <c r="G16" s="23"/>
      <c r="H16" s="22"/>
    </row>
    <row r="17" spans="1:17" ht="18" x14ac:dyDescent="0.25">
      <c r="A17" s="24">
        <v>1</v>
      </c>
      <c r="B17" s="20" t="s">
        <v>11</v>
      </c>
      <c r="C17" s="25"/>
      <c r="D17" s="26">
        <f>777093+144+12475+14054</f>
        <v>803766</v>
      </c>
      <c r="E17" s="27"/>
      <c r="F17" s="26">
        <v>5113</v>
      </c>
      <c r="G17" s="28"/>
      <c r="H17" s="26">
        <f>D17+F17</f>
        <v>808879</v>
      </c>
    </row>
    <row r="18" spans="1:17" x14ac:dyDescent="0.25">
      <c r="A18" s="24">
        <f>A17+1</f>
        <v>2</v>
      </c>
      <c r="B18" s="20" t="s">
        <v>12</v>
      </c>
      <c r="C18" s="25"/>
      <c r="D18" s="26">
        <f>522703+118+22739+1288</f>
        <v>546848</v>
      </c>
      <c r="E18" s="26"/>
      <c r="F18" s="26">
        <v>0</v>
      </c>
      <c r="G18" s="29"/>
      <c r="H18" s="26">
        <f>D18+F18</f>
        <v>546848</v>
      </c>
    </row>
    <row r="19" spans="1:17" x14ac:dyDescent="0.25">
      <c r="A19" s="24">
        <f t="shared" ref="A19:A38" si="0">A18+1</f>
        <v>3</v>
      </c>
      <c r="B19" s="20" t="s">
        <v>13</v>
      </c>
      <c r="C19" s="25"/>
      <c r="D19" s="30">
        <f>D17-D18</f>
        <v>256918</v>
      </c>
      <c r="E19" s="26"/>
      <c r="F19" s="30">
        <f>F17-F18</f>
        <v>5113</v>
      </c>
      <c r="G19" s="29"/>
      <c r="H19" s="30">
        <f>H17-H18</f>
        <v>262031</v>
      </c>
      <c r="J19" s="31"/>
    </row>
    <row r="20" spans="1:17" x14ac:dyDescent="0.25">
      <c r="A20" s="24">
        <f t="shared" si="0"/>
        <v>4</v>
      </c>
      <c r="B20" s="20"/>
      <c r="C20" s="25"/>
      <c r="D20" s="26"/>
      <c r="E20" s="26"/>
      <c r="F20" s="26"/>
      <c r="G20" s="29"/>
      <c r="H20" s="26"/>
    </row>
    <row r="21" spans="1:17" ht="18" x14ac:dyDescent="0.25">
      <c r="A21" s="24">
        <f t="shared" si="0"/>
        <v>5</v>
      </c>
      <c r="B21" s="20" t="s">
        <v>14</v>
      </c>
      <c r="C21" s="25"/>
      <c r="D21" s="32">
        <v>9789</v>
      </c>
      <c r="E21" s="26"/>
      <c r="F21" s="32">
        <v>237</v>
      </c>
      <c r="G21" s="28"/>
      <c r="H21" s="32">
        <f>D21+F21</f>
        <v>10026</v>
      </c>
      <c r="J21" s="33"/>
      <c r="K21" s="34"/>
      <c r="L21" s="35"/>
    </row>
    <row r="22" spans="1:17" x14ac:dyDescent="0.25">
      <c r="A22" s="24">
        <f t="shared" si="0"/>
        <v>6</v>
      </c>
      <c r="B22" s="20"/>
      <c r="C22" s="25"/>
      <c r="D22" s="26"/>
      <c r="E22" s="26"/>
      <c r="F22" s="26"/>
      <c r="G22" s="29"/>
      <c r="H22" s="26"/>
      <c r="J22" s="36"/>
      <c r="K22" s="36"/>
      <c r="L22" s="37"/>
    </row>
    <row r="23" spans="1:17" x14ac:dyDescent="0.25">
      <c r="A23" s="24">
        <f t="shared" si="0"/>
        <v>7</v>
      </c>
      <c r="B23" s="20" t="s">
        <v>15</v>
      </c>
      <c r="C23" s="25"/>
      <c r="D23" s="38"/>
      <c r="E23" s="26"/>
      <c r="F23" s="38"/>
      <c r="G23" s="29"/>
      <c r="H23" s="38"/>
      <c r="J23" s="36"/>
      <c r="K23" s="36"/>
      <c r="L23" s="37"/>
    </row>
    <row r="24" spans="1:17" x14ac:dyDescent="0.25">
      <c r="A24" s="24">
        <f t="shared" si="0"/>
        <v>8</v>
      </c>
      <c r="B24" s="20" t="s">
        <v>16</v>
      </c>
      <c r="C24" s="25"/>
      <c r="D24" s="26">
        <v>78775</v>
      </c>
      <c r="E24" s="26"/>
      <c r="F24" s="26">
        <v>0</v>
      </c>
      <c r="G24" s="29"/>
      <c r="H24" s="26">
        <f t="shared" ref="H24:H29" si="1">D24+F24</f>
        <v>78775</v>
      </c>
      <c r="I24" s="39"/>
      <c r="J24" s="36"/>
      <c r="K24" s="40"/>
      <c r="L24" s="37"/>
    </row>
    <row r="25" spans="1:17" x14ac:dyDescent="0.25">
      <c r="A25" s="24">
        <f t="shared" si="0"/>
        <v>9</v>
      </c>
      <c r="B25" s="20" t="s">
        <v>17</v>
      </c>
      <c r="C25" s="25"/>
      <c r="D25" s="26">
        <f>2977+33</f>
        <v>3010</v>
      </c>
      <c r="E25" s="26"/>
      <c r="F25" s="26">
        <v>0</v>
      </c>
      <c r="G25" s="29"/>
      <c r="H25" s="26">
        <f t="shared" si="1"/>
        <v>3010</v>
      </c>
      <c r="I25" s="39"/>
      <c r="J25" s="36"/>
      <c r="K25" s="36"/>
      <c r="L25" s="37"/>
    </row>
    <row r="26" spans="1:17" ht="18" x14ac:dyDescent="0.25">
      <c r="A26" s="24">
        <f t="shared" si="0"/>
        <v>10</v>
      </c>
      <c r="B26" s="20" t="s">
        <v>18</v>
      </c>
      <c r="C26" s="25"/>
      <c r="D26" s="34">
        <v>-240</v>
      </c>
      <c r="E26" s="26"/>
      <c r="F26" s="26">
        <v>-6722</v>
      </c>
      <c r="G26" s="28"/>
      <c r="H26" s="34">
        <f t="shared" si="1"/>
        <v>-6962</v>
      </c>
      <c r="I26" s="39"/>
      <c r="J26" s="41"/>
      <c r="K26" s="26"/>
      <c r="L26" s="42"/>
    </row>
    <row r="27" spans="1:17" x14ac:dyDescent="0.25">
      <c r="A27" s="24">
        <f t="shared" si="0"/>
        <v>11</v>
      </c>
      <c r="B27" s="20" t="s">
        <v>19</v>
      </c>
      <c r="C27" s="25"/>
      <c r="D27" s="26">
        <v>79557</v>
      </c>
      <c r="E27" s="26"/>
      <c r="F27" s="26">
        <v>0</v>
      </c>
      <c r="G27" s="29"/>
      <c r="H27" s="26">
        <f t="shared" si="1"/>
        <v>79557</v>
      </c>
      <c r="I27" s="39"/>
      <c r="J27" s="39"/>
      <c r="L27" s="43"/>
    </row>
    <row r="28" spans="1:17" ht="18" x14ac:dyDescent="0.25">
      <c r="A28" s="24">
        <f t="shared" si="0"/>
        <v>12</v>
      </c>
      <c r="B28" s="20" t="s">
        <v>41</v>
      </c>
      <c r="C28" s="20"/>
      <c r="D28" s="26">
        <f>41688+13</f>
        <v>41701</v>
      </c>
      <c r="E28" s="26"/>
      <c r="F28" s="26">
        <v>-94</v>
      </c>
      <c r="G28" s="28"/>
      <c r="H28" s="26">
        <f t="shared" si="1"/>
        <v>41607</v>
      </c>
      <c r="I28" s="39"/>
      <c r="J28" s="39"/>
      <c r="L28" s="43"/>
    </row>
    <row r="29" spans="1:17" x14ac:dyDescent="0.25">
      <c r="A29" s="24">
        <f t="shared" si="0"/>
        <v>13</v>
      </c>
      <c r="B29" s="20"/>
      <c r="C29" s="20"/>
      <c r="D29" s="30">
        <f>SUM(D24:D28)</f>
        <v>202803</v>
      </c>
      <c r="E29" s="26"/>
      <c r="F29" s="30">
        <f>SUM(F24:F28)</f>
        <v>-6816</v>
      </c>
      <c r="G29" s="29"/>
      <c r="H29" s="30">
        <f t="shared" si="1"/>
        <v>195987</v>
      </c>
      <c r="I29" s="39"/>
      <c r="J29" s="44"/>
      <c r="K29" s="45"/>
      <c r="L29" s="43"/>
    </row>
    <row r="30" spans="1:17" x14ac:dyDescent="0.25">
      <c r="A30" s="24">
        <f t="shared" si="0"/>
        <v>14</v>
      </c>
      <c r="B30" s="20"/>
      <c r="C30" s="46"/>
      <c r="D30" s="38"/>
      <c r="E30" s="38"/>
      <c r="F30" s="38"/>
      <c r="G30" s="47"/>
      <c r="H30" s="38"/>
      <c r="J30" s="45"/>
      <c r="K30" s="48"/>
      <c r="L30" s="43"/>
    </row>
    <row r="31" spans="1:17" x14ac:dyDescent="0.25">
      <c r="A31" s="24">
        <f t="shared" si="0"/>
        <v>15</v>
      </c>
      <c r="B31" s="20" t="s">
        <v>20</v>
      </c>
      <c r="C31" s="20"/>
      <c r="D31" s="34">
        <f>D19+D21-D29</f>
        <v>63904</v>
      </c>
      <c r="E31" s="26"/>
      <c r="F31" s="26">
        <f>F19+F21-F29</f>
        <v>12166</v>
      </c>
      <c r="G31" s="29"/>
      <c r="H31" s="34">
        <f>D31+F31</f>
        <v>76070</v>
      </c>
      <c r="I31" s="39"/>
      <c r="J31" s="49"/>
      <c r="K31" s="54"/>
      <c r="L31" s="43"/>
      <c r="M31" s="54"/>
      <c r="O31" s="54"/>
      <c r="Q31" s="84"/>
    </row>
    <row r="32" spans="1:17" ht="18" x14ac:dyDescent="0.25">
      <c r="A32" s="24">
        <f t="shared" si="0"/>
        <v>16</v>
      </c>
      <c r="B32" s="20" t="s">
        <v>42</v>
      </c>
      <c r="C32" s="46"/>
      <c r="D32" s="32">
        <f>18749+(2502*0.3)</f>
        <v>19499.599999999999</v>
      </c>
      <c r="E32" s="50"/>
      <c r="F32" s="32">
        <f>F31*0.3</f>
        <v>3649.7999999999997</v>
      </c>
      <c r="G32" s="51"/>
      <c r="H32" s="32">
        <f>D32+F32+1</f>
        <v>23150.399999999998</v>
      </c>
      <c r="I32" s="39"/>
      <c r="J32" s="45"/>
      <c r="K32" s="52"/>
      <c r="L32" s="43"/>
    </row>
    <row r="33" spans="1:17" x14ac:dyDescent="0.25">
      <c r="A33" s="24">
        <f t="shared" si="0"/>
        <v>17</v>
      </c>
      <c r="B33" s="20"/>
      <c r="C33" s="20"/>
      <c r="D33" s="33"/>
      <c r="E33" s="33"/>
      <c r="F33" s="33"/>
      <c r="G33" s="35"/>
      <c r="H33" s="33"/>
      <c r="I33" s="39"/>
    </row>
    <row r="34" spans="1:17" ht="15.75" thickBot="1" x14ac:dyDescent="0.3">
      <c r="A34" s="24">
        <f t="shared" si="0"/>
        <v>18</v>
      </c>
      <c r="B34" s="20" t="s">
        <v>21</v>
      </c>
      <c r="C34" s="20"/>
      <c r="D34" s="53">
        <f>D31-D32</f>
        <v>44404.4</v>
      </c>
      <c r="E34" s="33"/>
      <c r="F34" s="53">
        <f>F31-F32</f>
        <v>8516.2000000000007</v>
      </c>
      <c r="G34" s="35"/>
      <c r="H34" s="53">
        <f>D34+F34-1</f>
        <v>52919.600000000006</v>
      </c>
      <c r="I34" s="39"/>
      <c r="J34" s="31"/>
      <c r="K34" s="31"/>
      <c r="M34" s="31"/>
      <c r="O34" s="31"/>
      <c r="Q34" s="84"/>
    </row>
    <row r="35" spans="1:17" x14ac:dyDescent="0.25">
      <c r="A35" s="24">
        <f t="shared" si="0"/>
        <v>19</v>
      </c>
      <c r="B35" s="20"/>
      <c r="C35" s="20"/>
      <c r="D35" s="55"/>
      <c r="E35" s="36"/>
      <c r="F35" s="36"/>
      <c r="G35" s="37"/>
      <c r="H35" s="36"/>
    </row>
    <row r="36" spans="1:17" x14ac:dyDescent="0.25">
      <c r="A36" s="24">
        <f t="shared" si="0"/>
        <v>20</v>
      </c>
      <c r="B36" s="20"/>
      <c r="C36" s="20"/>
      <c r="D36" s="36"/>
      <c r="E36" s="36"/>
      <c r="F36" s="36"/>
      <c r="G36" s="37"/>
      <c r="H36" s="36"/>
    </row>
    <row r="37" spans="1:17" x14ac:dyDescent="0.25">
      <c r="A37" s="24">
        <f t="shared" si="0"/>
        <v>21</v>
      </c>
      <c r="B37" s="20" t="s">
        <v>22</v>
      </c>
      <c r="C37" s="20"/>
      <c r="D37" s="56">
        <f>(D34/(602221+(H48/2)))*100</f>
        <v>7.3627330409866287</v>
      </c>
      <c r="E37" s="74"/>
      <c r="F37" s="58"/>
      <c r="G37" s="75"/>
      <c r="H37" s="56">
        <f>(H34/(606680+(H48/2)))*100</f>
        <v>8.710246648990374</v>
      </c>
      <c r="I37" s="58"/>
      <c r="J37" s="39"/>
    </row>
    <row r="38" spans="1:17" x14ac:dyDescent="0.25">
      <c r="A38" s="24">
        <f t="shared" si="0"/>
        <v>22</v>
      </c>
      <c r="B38" s="20"/>
      <c r="C38" s="20"/>
      <c r="D38" s="36"/>
      <c r="E38" s="36"/>
      <c r="F38" s="36"/>
      <c r="G38" s="37"/>
      <c r="H38" s="36"/>
      <c r="I38" s="39"/>
      <c r="J38" s="39"/>
    </row>
    <row r="39" spans="1:17" x14ac:dyDescent="0.25">
      <c r="A39" s="24">
        <v>23</v>
      </c>
      <c r="B39" s="20" t="s">
        <v>23</v>
      </c>
      <c r="C39" s="20"/>
      <c r="D39" s="27">
        <f>84281-D48+D34</f>
        <v>86032.4</v>
      </c>
      <c r="E39" s="39"/>
      <c r="F39" s="39"/>
      <c r="G39" s="57"/>
      <c r="H39" s="27">
        <f>92703-51169+H34</f>
        <v>94453.6</v>
      </c>
      <c r="I39" s="39"/>
      <c r="J39" s="39"/>
      <c r="K39" s="31"/>
    </row>
    <row r="40" spans="1:17" x14ac:dyDescent="0.25">
      <c r="A40" s="24">
        <v>24</v>
      </c>
      <c r="B40" s="20" t="s">
        <v>30</v>
      </c>
      <c r="C40" s="20"/>
      <c r="D40" s="26">
        <v>1357684</v>
      </c>
      <c r="E40" s="39"/>
      <c r="F40" s="39"/>
      <c r="G40" s="57"/>
      <c r="H40" s="26">
        <f>'-1% sales'!H40</f>
        <v>1360058</v>
      </c>
      <c r="I40" s="39"/>
      <c r="J40" s="39"/>
    </row>
    <row r="41" spans="1:17" x14ac:dyDescent="0.25">
      <c r="A41" s="24">
        <v>25</v>
      </c>
      <c r="B41" s="20" t="s">
        <v>24</v>
      </c>
      <c r="C41" s="20"/>
      <c r="D41" s="58">
        <f>D39/D40*100</f>
        <v>6.3367027968216458</v>
      </c>
      <c r="E41" s="58"/>
      <c r="F41" s="58"/>
      <c r="G41" s="69"/>
      <c r="H41" s="58">
        <f>H39/H40*100</f>
        <v>6.9448214708490372</v>
      </c>
      <c r="I41" s="39"/>
      <c r="J41" s="39"/>
    </row>
    <row r="42" spans="1:17" x14ac:dyDescent="0.25">
      <c r="A42" s="24"/>
      <c r="B42" s="20"/>
      <c r="C42" s="20"/>
      <c r="D42" s="36"/>
      <c r="E42" s="36"/>
      <c r="F42" s="36"/>
      <c r="G42" s="37"/>
      <c r="H42" s="36"/>
      <c r="I42" s="39"/>
      <c r="J42" s="39"/>
    </row>
    <row r="43" spans="1:17" x14ac:dyDescent="0.25">
      <c r="A43" s="24"/>
      <c r="B43" s="20"/>
      <c r="C43" s="20"/>
      <c r="D43" s="36"/>
      <c r="E43" s="36"/>
      <c r="F43" s="36"/>
      <c r="G43" s="37"/>
      <c r="H43" s="36"/>
      <c r="I43" s="39"/>
      <c r="J43" s="39"/>
    </row>
    <row r="44" spans="1:17" x14ac:dyDescent="0.25">
      <c r="A44" s="59">
        <v>1</v>
      </c>
      <c r="B44" s="60" t="s">
        <v>53</v>
      </c>
      <c r="C44" s="39"/>
      <c r="D44" s="39"/>
      <c r="E44" s="39"/>
      <c r="F44" s="39"/>
      <c r="I44" s="39"/>
      <c r="J44" s="39"/>
    </row>
    <row r="45" spans="1:17" x14ac:dyDescent="0.25">
      <c r="A45" s="59"/>
      <c r="B45" s="60" t="s">
        <v>54</v>
      </c>
      <c r="C45" s="39"/>
      <c r="D45" s="39"/>
      <c r="E45" s="39"/>
      <c r="F45" s="39"/>
      <c r="I45" s="39"/>
      <c r="J45" s="39"/>
    </row>
    <row r="46" spans="1:17" x14ac:dyDescent="0.25">
      <c r="A46" s="59"/>
      <c r="B46" s="60" t="s">
        <v>45</v>
      </c>
      <c r="C46" s="39"/>
      <c r="D46" s="39"/>
      <c r="E46" s="39"/>
      <c r="F46" s="39"/>
      <c r="I46" s="39"/>
      <c r="J46" s="39"/>
    </row>
    <row r="47" spans="1:17" ht="36.75" x14ac:dyDescent="0.25">
      <c r="B47" s="60"/>
      <c r="C47" s="39"/>
      <c r="D47" s="79" t="s">
        <v>25</v>
      </c>
      <c r="E47" s="80"/>
      <c r="F47" s="79" t="s">
        <v>36</v>
      </c>
      <c r="H47" s="79" t="s">
        <v>44</v>
      </c>
      <c r="I47" s="39"/>
      <c r="J47" s="39"/>
    </row>
    <row r="48" spans="1:17" x14ac:dyDescent="0.25">
      <c r="B48" s="61" t="s">
        <v>21</v>
      </c>
      <c r="C48" s="39"/>
      <c r="D48" s="62">
        <v>42653</v>
      </c>
      <c r="E48" s="62"/>
      <c r="F48" s="62">
        <f>D34</f>
        <v>44404.4</v>
      </c>
      <c r="H48" s="62">
        <f>F48-D48</f>
        <v>1751.4000000000015</v>
      </c>
      <c r="I48" s="39"/>
      <c r="J48" s="39"/>
    </row>
    <row r="49" spans="1:10" x14ac:dyDescent="0.25">
      <c r="B49" s="61" t="s">
        <v>27</v>
      </c>
      <c r="C49" s="39"/>
      <c r="D49" s="63">
        <v>8845</v>
      </c>
      <c r="E49" s="62"/>
      <c r="F49" s="63">
        <f>ROUND(((606680+(H48/2))*0.085+1)-71-F48,0)</f>
        <v>7168</v>
      </c>
      <c r="H49" s="63">
        <f>F49-D49</f>
        <v>-1677</v>
      </c>
      <c r="I49" s="39"/>
      <c r="J49" s="39"/>
    </row>
    <row r="50" spans="1:10" x14ac:dyDescent="0.25">
      <c r="B50" s="61" t="s">
        <v>43</v>
      </c>
      <c r="D50" s="62">
        <f>D48+D49</f>
        <v>51498</v>
      </c>
      <c r="E50" s="62"/>
      <c r="F50" s="62">
        <f>F48+F49</f>
        <v>51572.4</v>
      </c>
      <c r="H50" s="62">
        <f>F50-D50</f>
        <v>74.400000000001455</v>
      </c>
      <c r="I50" s="39"/>
      <c r="J50" s="39"/>
    </row>
    <row r="51" spans="1:10" x14ac:dyDescent="0.25">
      <c r="A51" s="59"/>
      <c r="B51" s="45"/>
      <c r="D51" s="62"/>
      <c r="E51" s="62"/>
      <c r="F51" s="62"/>
      <c r="I51" s="39"/>
      <c r="J51" s="39"/>
    </row>
    <row r="52" spans="1:10" x14ac:dyDescent="0.25">
      <c r="A52" s="59"/>
      <c r="B52" s="45" t="s">
        <v>52</v>
      </c>
      <c r="D52" s="62"/>
      <c r="E52" s="62"/>
      <c r="F52" s="62"/>
      <c r="I52" s="39"/>
      <c r="J52" s="39"/>
    </row>
    <row r="53" spans="1:10" x14ac:dyDescent="0.25">
      <c r="B53" s="61"/>
      <c r="D53" s="62"/>
      <c r="E53" s="62"/>
      <c r="F53" s="62"/>
      <c r="I53" s="39"/>
      <c r="J53" s="39"/>
    </row>
    <row r="54" spans="1:10" ht="15.75" x14ac:dyDescent="0.25">
      <c r="A54" s="20"/>
      <c r="B54" s="65" t="s">
        <v>28</v>
      </c>
      <c r="C54" s="66"/>
      <c r="D54" s="66"/>
      <c r="E54" s="65"/>
      <c r="F54" s="66"/>
      <c r="G54" s="67"/>
      <c r="H54" s="68" t="s">
        <v>32</v>
      </c>
    </row>
    <row r="55" spans="1:10" x14ac:dyDescent="0.25">
      <c r="B55" s="39"/>
      <c r="C55" s="39"/>
      <c r="D55" s="39"/>
      <c r="E55" s="39"/>
      <c r="F55" s="76"/>
    </row>
    <row r="56" spans="1:10" x14ac:dyDescent="0.25">
      <c r="B56" s="39"/>
      <c r="C56" s="39"/>
    </row>
    <row r="57" spans="1:10" x14ac:dyDescent="0.25">
      <c r="B57" s="60"/>
      <c r="C57" s="39"/>
    </row>
    <row r="58" spans="1:10" x14ac:dyDescent="0.25">
      <c r="B58" s="39"/>
      <c r="C58" s="39"/>
      <c r="D58" s="31"/>
      <c r="H58" s="31"/>
    </row>
    <row r="59" spans="1:10" x14ac:dyDescent="0.25">
      <c r="B59" s="39"/>
      <c r="C59" s="39"/>
      <c r="D59" s="64"/>
      <c r="F59" s="64"/>
      <c r="H59" s="64"/>
      <c r="J59" s="64"/>
    </row>
    <row r="62" spans="1:10" x14ac:dyDescent="0.25">
      <c r="D62" s="31"/>
      <c r="H62" s="31"/>
    </row>
  </sheetData>
  <mergeCells count="6">
    <mergeCell ref="B11:H11"/>
    <mergeCell ref="B5:H5"/>
    <mergeCell ref="B7:H7"/>
    <mergeCell ref="B8:H8"/>
    <mergeCell ref="B9:H9"/>
    <mergeCell ref="B10:H10"/>
  </mergeCells>
  <pageMargins left="0.7" right="0.7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9258-803B-4A9A-9AA1-038D6ADAE3CC}">
  <sheetPr>
    <pageSetUpPr fitToPage="1"/>
  </sheetPr>
  <dimension ref="A1:Q62"/>
  <sheetViews>
    <sheetView zoomScaleNormal="100" workbookViewId="0">
      <selection activeCell="H3" sqref="H3"/>
    </sheetView>
  </sheetViews>
  <sheetFormatPr defaultColWidth="9.140625" defaultRowHeight="15" x14ac:dyDescent="0.25"/>
  <cols>
    <col min="1" max="1" width="4" style="1" customWidth="1"/>
    <col min="2" max="2" width="50.140625" style="1" customWidth="1"/>
    <col min="3" max="3" width="7.5703125" style="1" customWidth="1"/>
    <col min="4" max="4" width="16.140625" style="1" customWidth="1"/>
    <col min="5" max="5" width="4.42578125" style="1" customWidth="1"/>
    <col min="6" max="6" width="13.42578125" style="1" customWidth="1"/>
    <col min="7" max="7" width="3.85546875" style="43" customWidth="1"/>
    <col min="8" max="8" width="13.140625" style="1" customWidth="1"/>
    <col min="9" max="9" width="4" style="1" customWidth="1"/>
    <col min="10" max="10" width="9.140625" style="1"/>
    <col min="11" max="11" width="13.140625" style="1" bestFit="1" customWidth="1"/>
    <col min="12" max="12" width="9.42578125" style="1" bestFit="1" customWidth="1"/>
    <col min="13" max="13" width="12.42578125" style="1" bestFit="1" customWidth="1"/>
    <col min="14" max="14" width="9.140625" style="1"/>
    <col min="15" max="15" width="12.42578125" style="1" bestFit="1" customWidth="1"/>
    <col min="16" max="16" width="9.140625" style="1"/>
    <col min="17" max="17" width="12.42578125" style="1" bestFit="1" customWidth="1"/>
    <col min="18" max="16384" width="9.140625" style="1"/>
  </cols>
  <sheetData>
    <row r="1" spans="1:9" ht="15.75" x14ac:dyDescent="0.25">
      <c r="H1" s="4"/>
    </row>
    <row r="2" spans="1:9" ht="18.75" x14ac:dyDescent="0.3">
      <c r="A2"/>
      <c r="B2" s="5"/>
      <c r="C2" s="6"/>
      <c r="D2" s="7"/>
      <c r="E2" s="7"/>
      <c r="F2" s="8"/>
      <c r="G2" s="8"/>
      <c r="H2" s="9" t="s">
        <v>56</v>
      </c>
    </row>
    <row r="3" spans="1:9" ht="18.75" x14ac:dyDescent="0.3">
      <c r="A3"/>
      <c r="B3" s="10"/>
      <c r="C3" s="10"/>
      <c r="D3" s="11"/>
      <c r="E3" s="11"/>
      <c r="F3" s="2"/>
      <c r="G3" s="3"/>
      <c r="H3" s="2"/>
      <c r="I3" s="2"/>
    </row>
    <row r="4" spans="1:9" ht="18.75" x14ac:dyDescent="0.3">
      <c r="A4"/>
      <c r="B4" s="10"/>
      <c r="C4" s="10"/>
      <c r="D4" s="11"/>
      <c r="E4" s="11"/>
      <c r="F4" s="2"/>
      <c r="G4" s="3"/>
      <c r="H4" s="2"/>
      <c r="I4" s="2"/>
    </row>
    <row r="5" spans="1:9" ht="15.75" x14ac:dyDescent="0.25">
      <c r="A5" s="12"/>
      <c r="B5" s="85" t="s">
        <v>0</v>
      </c>
      <c r="C5" s="85"/>
      <c r="D5" s="85"/>
      <c r="E5" s="85"/>
      <c r="F5" s="85"/>
      <c r="G5" s="85"/>
      <c r="H5" s="85"/>
      <c r="I5" s="16"/>
    </row>
    <row r="6" spans="1:9" x14ac:dyDescent="0.25">
      <c r="A6" s="12"/>
      <c r="B6" s="14"/>
      <c r="C6" s="14"/>
      <c r="D6" s="14"/>
      <c r="E6" s="14"/>
      <c r="F6" s="14"/>
      <c r="G6" s="15"/>
      <c r="H6" s="14"/>
      <c r="I6" s="14"/>
    </row>
    <row r="7" spans="1:9" ht="15.75" x14ac:dyDescent="0.25">
      <c r="A7" s="12"/>
      <c r="B7" s="85" t="s">
        <v>1</v>
      </c>
      <c r="C7" s="85"/>
      <c r="D7" s="85"/>
      <c r="E7" s="85"/>
      <c r="F7" s="85"/>
      <c r="G7" s="85"/>
      <c r="H7" s="85"/>
      <c r="I7" s="13"/>
    </row>
    <row r="8" spans="1:9" ht="15.75" x14ac:dyDescent="0.25">
      <c r="A8" s="12"/>
      <c r="B8" s="85" t="s">
        <v>2</v>
      </c>
      <c r="C8" s="85"/>
      <c r="D8" s="85"/>
      <c r="E8" s="85"/>
      <c r="F8" s="85"/>
      <c r="G8" s="85"/>
      <c r="H8" s="85"/>
      <c r="I8" s="13"/>
    </row>
    <row r="9" spans="1:9" ht="15.75" x14ac:dyDescent="0.25">
      <c r="A9" s="12"/>
      <c r="B9" s="85" t="s">
        <v>3</v>
      </c>
      <c r="C9" s="85"/>
      <c r="D9" s="85"/>
      <c r="E9" s="85"/>
      <c r="F9" s="85"/>
      <c r="G9" s="85"/>
      <c r="H9" s="85"/>
      <c r="I9" s="13"/>
    </row>
    <row r="10" spans="1:9" ht="18.75" x14ac:dyDescent="0.25">
      <c r="A10" s="12"/>
      <c r="B10" s="85" t="s">
        <v>49</v>
      </c>
      <c r="C10" s="85"/>
      <c r="D10" s="85"/>
      <c r="E10" s="85"/>
      <c r="F10" s="85"/>
      <c r="G10" s="85"/>
      <c r="H10" s="85"/>
      <c r="I10" s="13"/>
    </row>
    <row r="11" spans="1:9" ht="15.75" x14ac:dyDescent="0.25">
      <c r="A11" s="12"/>
      <c r="B11" s="85" t="s">
        <v>4</v>
      </c>
      <c r="C11" s="85"/>
      <c r="D11" s="85"/>
      <c r="E11" s="85"/>
      <c r="F11" s="85"/>
      <c r="G11" s="85"/>
      <c r="H11" s="85"/>
      <c r="I11" s="13"/>
    </row>
    <row r="12" spans="1:9" ht="15.75" x14ac:dyDescent="0.25">
      <c r="A12" s="12"/>
      <c r="B12" s="13"/>
      <c r="C12" s="13"/>
      <c r="D12" s="13"/>
      <c r="E12" s="13"/>
      <c r="F12" s="13"/>
      <c r="G12" s="15"/>
      <c r="H12" s="13"/>
    </row>
    <row r="13" spans="1:9" ht="15.75" x14ac:dyDescent="0.25">
      <c r="A13" s="12"/>
      <c r="B13" s="13"/>
      <c r="C13" s="13"/>
      <c r="D13" s="13" t="s">
        <v>5</v>
      </c>
      <c r="E13" s="13"/>
      <c r="F13" s="13" t="s">
        <v>6</v>
      </c>
      <c r="G13" s="15"/>
      <c r="H13" s="17" t="s">
        <v>5</v>
      </c>
    </row>
    <row r="14" spans="1:9" ht="15.75" x14ac:dyDescent="0.25">
      <c r="A14" s="12"/>
      <c r="B14" s="13"/>
      <c r="C14" s="13"/>
      <c r="D14" s="13" t="s">
        <v>7</v>
      </c>
      <c r="E14" s="13"/>
      <c r="F14" s="13">
        <v>2024</v>
      </c>
      <c r="G14" s="15"/>
      <c r="H14" s="17" t="s">
        <v>8</v>
      </c>
    </row>
    <row r="15" spans="1:9" ht="18.75" x14ac:dyDescent="0.25">
      <c r="A15" s="12"/>
      <c r="B15" s="13"/>
      <c r="C15" s="13"/>
      <c r="D15" s="18" t="s">
        <v>9</v>
      </c>
      <c r="E15" s="13"/>
      <c r="F15" s="19" t="s">
        <v>10</v>
      </c>
      <c r="G15" s="15"/>
      <c r="H15" s="19" t="s">
        <v>10</v>
      </c>
    </row>
    <row r="16" spans="1:9" x14ac:dyDescent="0.25">
      <c r="A16" s="20"/>
      <c r="B16" s="21"/>
      <c r="C16" s="21"/>
      <c r="D16" s="22"/>
      <c r="E16" s="22"/>
      <c r="F16" s="22"/>
      <c r="G16" s="23"/>
      <c r="H16" s="22"/>
    </row>
    <row r="17" spans="1:17" ht="18" x14ac:dyDescent="0.25">
      <c r="A17" s="24">
        <v>1</v>
      </c>
      <c r="B17" s="20" t="s">
        <v>11</v>
      </c>
      <c r="C17" s="25"/>
      <c r="D17" s="26">
        <f>777093+144-12475-14054</f>
        <v>750708</v>
      </c>
      <c r="E17" s="27"/>
      <c r="F17" s="26">
        <v>5113</v>
      </c>
      <c r="G17" s="28"/>
      <c r="H17" s="26">
        <f>D17+F17</f>
        <v>755821</v>
      </c>
    </row>
    <row r="18" spans="1:17" x14ac:dyDescent="0.25">
      <c r="A18" s="24">
        <f>A17+1</f>
        <v>2</v>
      </c>
      <c r="B18" s="20" t="s">
        <v>12</v>
      </c>
      <c r="C18" s="25"/>
      <c r="D18" s="26">
        <f>522703+118-22739-628</f>
        <v>499454</v>
      </c>
      <c r="E18" s="26"/>
      <c r="F18" s="26">
        <v>0</v>
      </c>
      <c r="G18" s="29"/>
      <c r="H18" s="26">
        <f>D18+F18</f>
        <v>499454</v>
      </c>
    </row>
    <row r="19" spans="1:17" x14ac:dyDescent="0.25">
      <c r="A19" s="24">
        <f t="shared" ref="A19:A38" si="0">A18+1</f>
        <v>3</v>
      </c>
      <c r="B19" s="20" t="s">
        <v>13</v>
      </c>
      <c r="C19" s="25"/>
      <c r="D19" s="30">
        <f>D17-D18</f>
        <v>251254</v>
      </c>
      <c r="E19" s="26"/>
      <c r="F19" s="30">
        <f>F17-F18</f>
        <v>5113</v>
      </c>
      <c r="G19" s="29"/>
      <c r="H19" s="30">
        <f>H17-H18</f>
        <v>256367</v>
      </c>
      <c r="J19" s="31"/>
    </row>
    <row r="20" spans="1:17" x14ac:dyDescent="0.25">
      <c r="A20" s="24">
        <f t="shared" si="0"/>
        <v>4</v>
      </c>
      <c r="B20" s="20"/>
      <c r="C20" s="25"/>
      <c r="D20" s="26"/>
      <c r="E20" s="26"/>
      <c r="F20" s="26"/>
      <c r="G20" s="29"/>
      <c r="H20" s="26"/>
    </row>
    <row r="21" spans="1:17" ht="18" x14ac:dyDescent="0.25">
      <c r="A21" s="24">
        <f t="shared" si="0"/>
        <v>5</v>
      </c>
      <c r="B21" s="20" t="s">
        <v>14</v>
      </c>
      <c r="C21" s="25"/>
      <c r="D21" s="32">
        <v>9789</v>
      </c>
      <c r="E21" s="26"/>
      <c r="F21" s="32">
        <v>237</v>
      </c>
      <c r="G21" s="28"/>
      <c r="H21" s="32">
        <f>D21+F21</f>
        <v>10026</v>
      </c>
      <c r="J21" s="33"/>
      <c r="K21" s="34"/>
      <c r="L21" s="35"/>
    </row>
    <row r="22" spans="1:17" x14ac:dyDescent="0.25">
      <c r="A22" s="24">
        <f t="shared" si="0"/>
        <v>6</v>
      </c>
      <c r="B22" s="20"/>
      <c r="C22" s="25"/>
      <c r="D22" s="26"/>
      <c r="E22" s="26"/>
      <c r="F22" s="26"/>
      <c r="G22" s="29"/>
      <c r="H22" s="26"/>
      <c r="J22" s="36"/>
      <c r="K22" s="36"/>
      <c r="L22" s="37"/>
    </row>
    <row r="23" spans="1:17" x14ac:dyDescent="0.25">
      <c r="A23" s="24">
        <f t="shared" si="0"/>
        <v>7</v>
      </c>
      <c r="B23" s="20" t="s">
        <v>15</v>
      </c>
      <c r="C23" s="25"/>
      <c r="D23" s="38"/>
      <c r="E23" s="26"/>
      <c r="F23" s="38"/>
      <c r="G23" s="29"/>
      <c r="H23" s="38"/>
      <c r="J23" s="36"/>
      <c r="K23" s="36"/>
      <c r="L23" s="37"/>
    </row>
    <row r="24" spans="1:17" x14ac:dyDescent="0.25">
      <c r="A24" s="24">
        <f t="shared" si="0"/>
        <v>8</v>
      </c>
      <c r="B24" s="20" t="s">
        <v>16</v>
      </c>
      <c r="C24" s="25"/>
      <c r="D24" s="26">
        <v>78775</v>
      </c>
      <c r="E24" s="26"/>
      <c r="F24" s="26">
        <v>0</v>
      </c>
      <c r="G24" s="29"/>
      <c r="H24" s="26">
        <f t="shared" ref="H24:H29" si="1">D24+F24</f>
        <v>78775</v>
      </c>
      <c r="I24" s="39"/>
      <c r="J24" s="36"/>
      <c r="K24" s="40"/>
      <c r="L24" s="37"/>
    </row>
    <row r="25" spans="1:17" x14ac:dyDescent="0.25">
      <c r="A25" s="24">
        <f t="shared" si="0"/>
        <v>9</v>
      </c>
      <c r="B25" s="20" t="s">
        <v>17</v>
      </c>
      <c r="C25" s="25"/>
      <c r="D25" s="26">
        <f>2977+33</f>
        <v>3010</v>
      </c>
      <c r="E25" s="26"/>
      <c r="F25" s="26">
        <v>0</v>
      </c>
      <c r="G25" s="29"/>
      <c r="H25" s="26">
        <f t="shared" si="1"/>
        <v>3010</v>
      </c>
      <c r="I25" s="39"/>
      <c r="J25" s="36"/>
      <c r="K25" s="36"/>
      <c r="L25" s="37"/>
    </row>
    <row r="26" spans="1:17" ht="18" x14ac:dyDescent="0.25">
      <c r="A26" s="24">
        <f t="shared" si="0"/>
        <v>10</v>
      </c>
      <c r="B26" s="20" t="s">
        <v>18</v>
      </c>
      <c r="C26" s="25"/>
      <c r="D26" s="34">
        <v>-240</v>
      </c>
      <c r="E26" s="26"/>
      <c r="F26" s="26">
        <v>-6722</v>
      </c>
      <c r="G26" s="28"/>
      <c r="H26" s="34">
        <f t="shared" si="1"/>
        <v>-6962</v>
      </c>
      <c r="I26" s="39"/>
      <c r="J26" s="41"/>
      <c r="K26" s="26"/>
      <c r="L26" s="42"/>
    </row>
    <row r="27" spans="1:17" x14ac:dyDescent="0.25">
      <c r="A27" s="24">
        <f t="shared" si="0"/>
        <v>11</v>
      </c>
      <c r="B27" s="20" t="s">
        <v>19</v>
      </c>
      <c r="C27" s="25"/>
      <c r="D27" s="26">
        <v>79557</v>
      </c>
      <c r="E27" s="26"/>
      <c r="F27" s="26">
        <v>0</v>
      </c>
      <c r="G27" s="29"/>
      <c r="H27" s="26">
        <f t="shared" si="1"/>
        <v>79557</v>
      </c>
      <c r="I27" s="39"/>
      <c r="J27" s="39"/>
      <c r="L27" s="43"/>
    </row>
    <row r="28" spans="1:17" ht="18" x14ac:dyDescent="0.25">
      <c r="A28" s="24">
        <f t="shared" si="0"/>
        <v>12</v>
      </c>
      <c r="B28" s="20" t="s">
        <v>41</v>
      </c>
      <c r="C28" s="20"/>
      <c r="D28" s="26">
        <f>41688+13</f>
        <v>41701</v>
      </c>
      <c r="E28" s="26"/>
      <c r="F28" s="26">
        <v>-94</v>
      </c>
      <c r="G28" s="28"/>
      <c r="H28" s="26">
        <f t="shared" si="1"/>
        <v>41607</v>
      </c>
      <c r="I28" s="39"/>
      <c r="J28" s="39"/>
      <c r="L28" s="43"/>
    </row>
    <row r="29" spans="1:17" x14ac:dyDescent="0.25">
      <c r="A29" s="24">
        <f t="shared" si="0"/>
        <v>13</v>
      </c>
      <c r="B29" s="20"/>
      <c r="C29" s="20"/>
      <c r="D29" s="30">
        <f>SUM(D24:D28)</f>
        <v>202803</v>
      </c>
      <c r="E29" s="26"/>
      <c r="F29" s="30">
        <f>SUM(F24:F28)</f>
        <v>-6816</v>
      </c>
      <c r="G29" s="29"/>
      <c r="H29" s="30">
        <f t="shared" si="1"/>
        <v>195987</v>
      </c>
      <c r="I29" s="39"/>
      <c r="J29" s="44"/>
      <c r="K29" s="45"/>
      <c r="L29" s="43"/>
    </row>
    <row r="30" spans="1:17" x14ac:dyDescent="0.25">
      <c r="A30" s="24">
        <f t="shared" si="0"/>
        <v>14</v>
      </c>
      <c r="B30" s="20"/>
      <c r="C30" s="46"/>
      <c r="D30" s="38"/>
      <c r="E30" s="38"/>
      <c r="F30" s="38"/>
      <c r="G30" s="47"/>
      <c r="H30" s="38"/>
      <c r="J30" s="45"/>
      <c r="K30" s="48"/>
      <c r="L30" s="43"/>
    </row>
    <row r="31" spans="1:17" x14ac:dyDescent="0.25">
      <c r="A31" s="24">
        <f t="shared" si="0"/>
        <v>15</v>
      </c>
      <c r="B31" s="20" t="s">
        <v>20</v>
      </c>
      <c r="C31" s="20"/>
      <c r="D31" s="34">
        <f>D19+D21-D29</f>
        <v>58240</v>
      </c>
      <c r="E31" s="26"/>
      <c r="F31" s="26">
        <f>F19+F21-F29</f>
        <v>12166</v>
      </c>
      <c r="G31" s="29"/>
      <c r="H31" s="34">
        <f>D31+F31</f>
        <v>70406</v>
      </c>
      <c r="I31" s="39"/>
      <c r="J31" s="49"/>
      <c r="K31" s="54"/>
      <c r="L31" s="43"/>
      <c r="M31" s="54"/>
      <c r="O31" s="54"/>
      <c r="Q31" s="84"/>
    </row>
    <row r="32" spans="1:17" ht="18" x14ac:dyDescent="0.25">
      <c r="A32" s="24">
        <f t="shared" si="0"/>
        <v>16</v>
      </c>
      <c r="B32" s="20" t="s">
        <v>42</v>
      </c>
      <c r="C32" s="46"/>
      <c r="D32" s="32">
        <f>18749-(3162*0.3)</f>
        <v>17800.400000000001</v>
      </c>
      <c r="E32" s="50"/>
      <c r="F32" s="32">
        <f>F31*0.3</f>
        <v>3649.7999999999997</v>
      </c>
      <c r="G32" s="51"/>
      <c r="H32" s="32">
        <f>D32+F32</f>
        <v>21450.2</v>
      </c>
      <c r="I32" s="39"/>
      <c r="J32" s="45"/>
      <c r="K32" s="52"/>
      <c r="L32" s="43"/>
    </row>
    <row r="33" spans="1:17" x14ac:dyDescent="0.25">
      <c r="A33" s="24">
        <f t="shared" si="0"/>
        <v>17</v>
      </c>
      <c r="B33" s="20"/>
      <c r="C33" s="20"/>
      <c r="D33" s="33"/>
      <c r="E33" s="33"/>
      <c r="F33" s="33"/>
      <c r="G33" s="35"/>
      <c r="H33" s="33"/>
      <c r="I33" s="39"/>
    </row>
    <row r="34" spans="1:17" ht="15.75" thickBot="1" x14ac:dyDescent="0.3">
      <c r="A34" s="24">
        <f t="shared" si="0"/>
        <v>18</v>
      </c>
      <c r="B34" s="20" t="s">
        <v>21</v>
      </c>
      <c r="C34" s="20"/>
      <c r="D34" s="53">
        <f>D31-D32</f>
        <v>40439.599999999999</v>
      </c>
      <c r="E34" s="33"/>
      <c r="F34" s="53">
        <f>F31-F32</f>
        <v>8516.2000000000007</v>
      </c>
      <c r="G34" s="35"/>
      <c r="H34" s="53">
        <f>D34+F34</f>
        <v>48955.8</v>
      </c>
      <c r="I34" s="39"/>
      <c r="J34" s="31"/>
      <c r="K34" s="31"/>
      <c r="M34" s="31"/>
      <c r="O34" s="31"/>
      <c r="Q34" s="84"/>
    </row>
    <row r="35" spans="1:17" x14ac:dyDescent="0.25">
      <c r="A35" s="24">
        <f t="shared" si="0"/>
        <v>19</v>
      </c>
      <c r="B35" s="20"/>
      <c r="C35" s="20"/>
      <c r="D35" s="55"/>
      <c r="E35" s="36"/>
      <c r="F35" s="36"/>
      <c r="G35" s="37"/>
      <c r="H35" s="36"/>
    </row>
    <row r="36" spans="1:17" x14ac:dyDescent="0.25">
      <c r="A36" s="24">
        <f t="shared" si="0"/>
        <v>20</v>
      </c>
      <c r="B36" s="20"/>
      <c r="C36" s="20"/>
      <c r="D36" s="36"/>
      <c r="E36" s="36"/>
      <c r="F36" s="36"/>
      <c r="G36" s="37"/>
      <c r="H36" s="36"/>
    </row>
    <row r="37" spans="1:17" x14ac:dyDescent="0.25">
      <c r="A37" s="24">
        <f t="shared" si="0"/>
        <v>21</v>
      </c>
      <c r="B37" s="20" t="s">
        <v>22</v>
      </c>
      <c r="C37" s="20"/>
      <c r="D37" s="56">
        <f>(D34/(602221+(H48/2)))*100</f>
        <v>6.7274393572071061</v>
      </c>
      <c r="E37" s="74"/>
      <c r="F37" s="58"/>
      <c r="G37" s="75"/>
      <c r="H37" s="56">
        <f>(H34/(606680+(H48/2)))*100</f>
        <v>8.0842071471777253</v>
      </c>
      <c r="I37" s="39"/>
      <c r="J37" s="39"/>
    </row>
    <row r="38" spans="1:17" x14ac:dyDescent="0.25">
      <c r="A38" s="24">
        <f t="shared" si="0"/>
        <v>22</v>
      </c>
      <c r="B38" s="20"/>
      <c r="C38" s="20"/>
      <c r="D38" s="36"/>
      <c r="E38" s="36"/>
      <c r="F38" s="36"/>
      <c r="G38" s="37"/>
      <c r="H38" s="36"/>
      <c r="I38" s="39"/>
      <c r="J38" s="39"/>
    </row>
    <row r="39" spans="1:17" x14ac:dyDescent="0.25">
      <c r="A39" s="24">
        <v>23</v>
      </c>
      <c r="B39" s="20" t="s">
        <v>23</v>
      </c>
      <c r="C39" s="20"/>
      <c r="D39" s="27">
        <f>84281-D48+D34</f>
        <v>82067.600000000006</v>
      </c>
      <c r="E39" s="39"/>
      <c r="F39" s="39"/>
      <c r="G39" s="57"/>
      <c r="H39" s="27">
        <f>92703-51169+H34</f>
        <v>90489.8</v>
      </c>
      <c r="I39" s="39"/>
      <c r="J39" s="39"/>
      <c r="K39" s="31"/>
    </row>
    <row r="40" spans="1:17" x14ac:dyDescent="0.25">
      <c r="A40" s="24">
        <v>24</v>
      </c>
      <c r="B40" s="20" t="s">
        <v>30</v>
      </c>
      <c r="C40" s="20"/>
      <c r="D40" s="26">
        <v>1357684</v>
      </c>
      <c r="E40" s="39"/>
      <c r="F40" s="39"/>
      <c r="G40" s="57"/>
      <c r="H40" s="26">
        <v>1360058</v>
      </c>
      <c r="I40" s="39"/>
      <c r="J40" s="39"/>
    </row>
    <row r="41" spans="1:17" x14ac:dyDescent="0.25">
      <c r="A41" s="24">
        <v>25</v>
      </c>
      <c r="B41" s="20" t="s">
        <v>24</v>
      </c>
      <c r="C41" s="20"/>
      <c r="D41" s="58">
        <f>D39/D40*100</f>
        <v>6.0446760807374922</v>
      </c>
      <c r="E41" s="58"/>
      <c r="F41" s="58"/>
      <c r="G41" s="69"/>
      <c r="H41" s="58">
        <f>H39/H40*100</f>
        <v>6.6533780177021873</v>
      </c>
      <c r="I41" s="39"/>
      <c r="J41" s="39"/>
    </row>
    <row r="42" spans="1:17" x14ac:dyDescent="0.25">
      <c r="A42" s="24"/>
      <c r="B42" s="20"/>
      <c r="C42" s="20"/>
      <c r="D42" s="36"/>
      <c r="E42" s="36"/>
      <c r="F42" s="36"/>
      <c r="G42" s="37"/>
      <c r="H42" s="36"/>
      <c r="I42" s="39"/>
      <c r="J42" s="39"/>
    </row>
    <row r="43" spans="1:17" x14ac:dyDescent="0.25">
      <c r="A43" s="24"/>
      <c r="B43" s="20"/>
      <c r="C43" s="20"/>
      <c r="D43" s="36"/>
      <c r="E43" s="36"/>
      <c r="F43" s="36"/>
      <c r="G43" s="37"/>
      <c r="H43" s="36"/>
      <c r="I43" s="39"/>
      <c r="J43" s="39"/>
    </row>
    <row r="44" spans="1:17" x14ac:dyDescent="0.25">
      <c r="A44" s="59">
        <v>1</v>
      </c>
      <c r="B44" s="60" t="s">
        <v>53</v>
      </c>
      <c r="C44" s="39"/>
      <c r="D44" s="39"/>
      <c r="E44" s="39"/>
      <c r="F44" s="39"/>
      <c r="H44" s="36"/>
      <c r="I44" s="39"/>
      <c r="J44" s="39"/>
    </row>
    <row r="45" spans="1:17" x14ac:dyDescent="0.25">
      <c r="A45" s="59"/>
      <c r="B45" s="60" t="s">
        <v>54</v>
      </c>
      <c r="C45" s="39"/>
      <c r="D45" s="39"/>
      <c r="E45" s="39"/>
      <c r="F45" s="39"/>
      <c r="H45" s="36"/>
      <c r="I45" s="39"/>
      <c r="J45" s="39"/>
    </row>
    <row r="46" spans="1:17" x14ac:dyDescent="0.25">
      <c r="A46" s="59"/>
      <c r="B46" s="60" t="s">
        <v>45</v>
      </c>
      <c r="C46" s="39"/>
      <c r="D46" s="39"/>
      <c r="E46" s="39"/>
      <c r="F46" s="39"/>
      <c r="H46" s="36"/>
      <c r="I46" s="39"/>
      <c r="J46" s="39"/>
    </row>
    <row r="47" spans="1:17" ht="36.75" x14ac:dyDescent="0.25">
      <c r="B47" s="60"/>
      <c r="C47" s="39"/>
      <c r="D47" s="79" t="s">
        <v>25</v>
      </c>
      <c r="E47" s="80"/>
      <c r="F47" s="79" t="s">
        <v>38</v>
      </c>
      <c r="H47" s="79" t="s">
        <v>44</v>
      </c>
      <c r="I47" s="39"/>
      <c r="J47" s="39"/>
    </row>
    <row r="48" spans="1:17" x14ac:dyDescent="0.25">
      <c r="B48" s="61" t="s">
        <v>21</v>
      </c>
      <c r="C48" s="39"/>
      <c r="D48" s="62">
        <v>42653</v>
      </c>
      <c r="E48" s="62"/>
      <c r="F48" s="62">
        <f>D34</f>
        <v>40439.599999999999</v>
      </c>
      <c r="H48" s="62">
        <f>F48-D48</f>
        <v>-2213.4000000000015</v>
      </c>
      <c r="I48" s="39"/>
      <c r="J48" s="39"/>
    </row>
    <row r="49" spans="1:10" x14ac:dyDescent="0.25">
      <c r="B49" s="61" t="s">
        <v>27</v>
      </c>
      <c r="C49" s="39"/>
      <c r="D49" s="63">
        <v>8845</v>
      </c>
      <c r="E49" s="62"/>
      <c r="F49" s="63">
        <f>ROUND(((606680+(H48/2))*0.085+1)-71-F48,0)</f>
        <v>10964</v>
      </c>
      <c r="H49" s="63">
        <f>F49-D49</f>
        <v>2119</v>
      </c>
      <c r="I49" s="39"/>
      <c r="J49" s="39"/>
    </row>
    <row r="50" spans="1:10" x14ac:dyDescent="0.25">
      <c r="B50" s="61" t="s">
        <v>43</v>
      </c>
      <c r="D50" s="62">
        <f>D48+D49</f>
        <v>51498</v>
      </c>
      <c r="E50" s="62"/>
      <c r="F50" s="62">
        <f>F48+F49</f>
        <v>51403.6</v>
      </c>
      <c r="H50" s="62">
        <f>F50-D50</f>
        <v>-94.400000000001455</v>
      </c>
      <c r="I50" s="39"/>
      <c r="J50" s="39"/>
    </row>
    <row r="51" spans="1:10" x14ac:dyDescent="0.25">
      <c r="A51" s="59"/>
      <c r="B51" s="45"/>
      <c r="D51" s="62"/>
      <c r="E51" s="62"/>
      <c r="F51" s="62"/>
      <c r="H51" s="36"/>
      <c r="I51" s="39"/>
      <c r="J51" s="39"/>
    </row>
    <row r="52" spans="1:10" x14ac:dyDescent="0.25">
      <c r="A52" s="59"/>
      <c r="B52" s="45" t="s">
        <v>52</v>
      </c>
      <c r="D52" s="62"/>
      <c r="E52" s="62"/>
      <c r="F52" s="62"/>
      <c r="H52" s="36"/>
      <c r="I52" s="39"/>
      <c r="J52" s="39"/>
    </row>
    <row r="53" spans="1:10" x14ac:dyDescent="0.25">
      <c r="B53" s="61"/>
      <c r="D53" s="62"/>
      <c r="E53" s="62"/>
      <c r="F53" s="62"/>
      <c r="H53" s="36"/>
      <c r="I53" s="39"/>
      <c r="J53" s="39"/>
    </row>
    <row r="54" spans="1:10" ht="15.75" x14ac:dyDescent="0.25">
      <c r="A54" s="20"/>
      <c r="B54" s="65" t="s">
        <v>28</v>
      </c>
      <c r="C54" s="66"/>
      <c r="D54" s="66"/>
      <c r="E54" s="65"/>
      <c r="F54" s="66"/>
      <c r="G54" s="67"/>
      <c r="H54" s="68" t="s">
        <v>33</v>
      </c>
    </row>
    <row r="55" spans="1:10" x14ac:dyDescent="0.25">
      <c r="B55" s="39"/>
      <c r="C55" s="39"/>
      <c r="D55" s="39"/>
      <c r="E55" s="39"/>
      <c r="F55" s="76"/>
    </row>
    <row r="56" spans="1:10" x14ac:dyDescent="0.25">
      <c r="B56" s="39"/>
      <c r="C56" s="39"/>
    </row>
    <row r="57" spans="1:10" x14ac:dyDescent="0.25">
      <c r="B57" s="60"/>
      <c r="C57" s="39"/>
    </row>
    <row r="58" spans="1:10" x14ac:dyDescent="0.25">
      <c r="B58" s="39"/>
      <c r="C58" s="39"/>
      <c r="D58" s="31"/>
      <c r="H58" s="31"/>
    </row>
    <row r="59" spans="1:10" x14ac:dyDescent="0.25">
      <c r="B59" s="39"/>
      <c r="C59" s="39"/>
      <c r="D59" s="64"/>
      <c r="F59" s="64"/>
      <c r="H59" s="64"/>
      <c r="J59" s="64"/>
    </row>
    <row r="62" spans="1:10" x14ac:dyDescent="0.25">
      <c r="D62" s="31"/>
      <c r="H62" s="31"/>
    </row>
  </sheetData>
  <mergeCells count="6">
    <mergeCell ref="B11:H11"/>
    <mergeCell ref="B5:H5"/>
    <mergeCell ref="B7:H7"/>
    <mergeCell ref="B8:H8"/>
    <mergeCell ref="B9:H9"/>
    <mergeCell ref="B10:H10"/>
  </mergeCells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3498-2AFF-43A6-B772-4119B33E1BA0}">
  <sheetPr>
    <pageSetUpPr fitToPage="1"/>
  </sheetPr>
  <dimension ref="A1:Q60"/>
  <sheetViews>
    <sheetView zoomScaleNormal="100" workbookViewId="0">
      <selection activeCell="H3" sqref="H3"/>
    </sheetView>
  </sheetViews>
  <sheetFormatPr defaultColWidth="9.140625" defaultRowHeight="15" x14ac:dyDescent="0.25"/>
  <cols>
    <col min="1" max="1" width="4" style="1" customWidth="1"/>
    <col min="2" max="2" width="50.140625" style="1" customWidth="1"/>
    <col min="3" max="3" width="6.140625" style="1" customWidth="1"/>
    <col min="4" max="4" width="16.85546875" style="1" customWidth="1"/>
    <col min="5" max="5" width="4.42578125" style="1" customWidth="1"/>
    <col min="6" max="6" width="15.85546875" style="1" customWidth="1"/>
    <col min="7" max="7" width="3.85546875" style="43" customWidth="1"/>
    <col min="8" max="8" width="13.140625" style="1" customWidth="1"/>
    <col min="9" max="9" width="4" style="1" customWidth="1"/>
    <col min="10" max="10" width="9.140625" style="1"/>
    <col min="11" max="11" width="13.140625" style="1" bestFit="1" customWidth="1"/>
    <col min="12" max="12" width="10.140625" style="1" bestFit="1" customWidth="1"/>
    <col min="13" max="13" width="12.42578125" style="1" bestFit="1" customWidth="1"/>
    <col min="14" max="14" width="9.140625" style="1"/>
    <col min="15" max="15" width="12.42578125" style="1" bestFit="1" customWidth="1"/>
    <col min="16" max="16" width="9.140625" style="1"/>
    <col min="17" max="17" width="12.42578125" style="1" bestFit="1" customWidth="1"/>
    <col min="18" max="16384" width="9.140625" style="1"/>
  </cols>
  <sheetData>
    <row r="1" spans="1:9" ht="15.75" x14ac:dyDescent="0.25">
      <c r="H1" s="4"/>
    </row>
    <row r="2" spans="1:9" ht="18.75" x14ac:dyDescent="0.3">
      <c r="A2"/>
      <c r="B2" s="5"/>
      <c r="C2" s="6"/>
      <c r="D2" s="7"/>
      <c r="E2" s="7"/>
      <c r="F2" s="8"/>
      <c r="G2" s="8"/>
      <c r="H2" s="9" t="s">
        <v>56</v>
      </c>
    </row>
    <row r="3" spans="1:9" ht="18.75" x14ac:dyDescent="0.3">
      <c r="A3"/>
      <c r="B3" s="10"/>
      <c r="C3" s="10"/>
      <c r="D3" s="11"/>
      <c r="E3" s="11"/>
      <c r="F3" s="2"/>
      <c r="G3" s="3"/>
      <c r="H3" s="2"/>
      <c r="I3" s="2"/>
    </row>
    <row r="4" spans="1:9" ht="18.75" x14ac:dyDescent="0.3">
      <c r="A4"/>
      <c r="B4" s="10"/>
      <c r="C4" s="10"/>
      <c r="D4" s="11"/>
      <c r="E4" s="11"/>
      <c r="F4" s="2"/>
      <c r="G4" s="3"/>
      <c r="H4" s="2"/>
      <c r="I4" s="2"/>
    </row>
    <row r="5" spans="1:9" ht="15.75" x14ac:dyDescent="0.25">
      <c r="A5" s="12"/>
      <c r="B5" s="85" t="s">
        <v>0</v>
      </c>
      <c r="C5" s="85"/>
      <c r="D5" s="85"/>
      <c r="E5" s="85"/>
      <c r="F5" s="85"/>
      <c r="G5" s="85"/>
      <c r="H5" s="85"/>
      <c r="I5" s="16"/>
    </row>
    <row r="6" spans="1:9" x14ac:dyDescent="0.25">
      <c r="A6" s="12"/>
      <c r="B6" s="14"/>
      <c r="C6" s="14"/>
      <c r="D6" s="14"/>
      <c r="E6" s="14"/>
      <c r="F6" s="14"/>
      <c r="G6" s="15"/>
      <c r="H6" s="14"/>
      <c r="I6" s="14"/>
    </row>
    <row r="7" spans="1:9" ht="15.75" x14ac:dyDescent="0.25">
      <c r="A7" s="12"/>
      <c r="B7" s="85" t="s">
        <v>1</v>
      </c>
      <c r="C7" s="85"/>
      <c r="D7" s="85"/>
      <c r="E7" s="85"/>
      <c r="F7" s="85"/>
      <c r="G7" s="85"/>
      <c r="H7" s="85"/>
      <c r="I7" s="13"/>
    </row>
    <row r="8" spans="1:9" ht="15.75" x14ac:dyDescent="0.25">
      <c r="A8" s="12"/>
      <c r="B8" s="85" t="s">
        <v>2</v>
      </c>
      <c r="C8" s="85"/>
      <c r="D8" s="85"/>
      <c r="E8" s="85"/>
      <c r="F8" s="85"/>
      <c r="G8" s="85"/>
      <c r="H8" s="85"/>
      <c r="I8" s="13"/>
    </row>
    <row r="9" spans="1:9" ht="15.75" x14ac:dyDescent="0.25">
      <c r="A9" s="12"/>
      <c r="B9" s="85" t="s">
        <v>3</v>
      </c>
      <c r="C9" s="85"/>
      <c r="D9" s="85"/>
      <c r="E9" s="85"/>
      <c r="F9" s="85"/>
      <c r="G9" s="85"/>
      <c r="H9" s="85"/>
      <c r="I9" s="13"/>
    </row>
    <row r="10" spans="1:9" ht="18.75" x14ac:dyDescent="0.25">
      <c r="A10" s="12"/>
      <c r="B10" s="85" t="s">
        <v>50</v>
      </c>
      <c r="C10" s="85"/>
      <c r="D10" s="85"/>
      <c r="E10" s="85"/>
      <c r="F10" s="85"/>
      <c r="G10" s="85"/>
      <c r="H10" s="85"/>
      <c r="I10" s="13"/>
    </row>
    <row r="11" spans="1:9" ht="15.75" x14ac:dyDescent="0.25">
      <c r="A11" s="12"/>
      <c r="B11" s="85" t="s">
        <v>4</v>
      </c>
      <c r="C11" s="85"/>
      <c r="D11" s="85"/>
      <c r="E11" s="85"/>
      <c r="F11" s="85"/>
      <c r="G11" s="85"/>
      <c r="H11" s="85"/>
      <c r="I11" s="13"/>
    </row>
    <row r="12" spans="1:9" ht="15.75" x14ac:dyDescent="0.25">
      <c r="A12" s="12"/>
      <c r="B12" s="13"/>
      <c r="C12" s="13"/>
      <c r="D12" s="13"/>
      <c r="E12" s="13"/>
      <c r="F12" s="13"/>
      <c r="G12" s="15"/>
      <c r="H12" s="13"/>
    </row>
    <row r="13" spans="1:9" ht="15.75" x14ac:dyDescent="0.25">
      <c r="A13" s="12"/>
      <c r="B13" s="13"/>
      <c r="C13" s="13"/>
      <c r="D13" s="13" t="s">
        <v>5</v>
      </c>
      <c r="E13" s="13"/>
      <c r="F13" s="13" t="s">
        <v>6</v>
      </c>
      <c r="G13" s="15"/>
      <c r="H13" s="17" t="s">
        <v>5</v>
      </c>
    </row>
    <row r="14" spans="1:9" ht="15.75" x14ac:dyDescent="0.25">
      <c r="A14" s="12"/>
      <c r="B14" s="13"/>
      <c r="C14" s="13"/>
      <c r="D14" s="13" t="s">
        <v>7</v>
      </c>
      <c r="E14" s="13"/>
      <c r="F14" s="13">
        <v>2024</v>
      </c>
      <c r="G14" s="15"/>
      <c r="H14" s="17" t="s">
        <v>8</v>
      </c>
    </row>
    <row r="15" spans="1:9" ht="18.75" x14ac:dyDescent="0.25">
      <c r="A15" s="12"/>
      <c r="B15" s="13"/>
      <c r="C15" s="13"/>
      <c r="D15" s="18" t="s">
        <v>9</v>
      </c>
      <c r="E15" s="13"/>
      <c r="F15" s="19" t="s">
        <v>10</v>
      </c>
      <c r="G15" s="15"/>
      <c r="H15" s="19" t="s">
        <v>10</v>
      </c>
    </row>
    <row r="16" spans="1:9" x14ac:dyDescent="0.25">
      <c r="A16" s="20"/>
      <c r="B16" s="21"/>
      <c r="C16" s="21"/>
      <c r="D16" s="22"/>
      <c r="E16" s="22"/>
      <c r="F16" s="22"/>
      <c r="G16" s="23"/>
      <c r="H16" s="22"/>
    </row>
    <row r="17" spans="1:17" ht="18" x14ac:dyDescent="0.25">
      <c r="A17" s="24">
        <v>1</v>
      </c>
      <c r="B17" s="20" t="s">
        <v>11</v>
      </c>
      <c r="C17" s="25"/>
      <c r="D17" s="26">
        <f>777093+144</f>
        <v>777237</v>
      </c>
      <c r="E17" s="27"/>
      <c r="F17" s="26">
        <v>5113</v>
      </c>
      <c r="G17" s="28"/>
      <c r="H17" s="26">
        <f>D17+F17</f>
        <v>782350</v>
      </c>
    </row>
    <row r="18" spans="1:17" x14ac:dyDescent="0.25">
      <c r="A18" s="24">
        <f>A17+1</f>
        <v>2</v>
      </c>
      <c r="B18" s="20" t="s">
        <v>12</v>
      </c>
      <c r="C18" s="25"/>
      <c r="D18" s="26">
        <f>522703+118</f>
        <v>522821</v>
      </c>
      <c r="E18" s="26"/>
      <c r="F18" s="26">
        <v>0</v>
      </c>
      <c r="G18" s="29"/>
      <c r="H18" s="26">
        <f>D18+F18</f>
        <v>522821</v>
      </c>
    </row>
    <row r="19" spans="1:17" x14ac:dyDescent="0.25">
      <c r="A19" s="24">
        <f t="shared" ref="A19:A38" si="0">A18+1</f>
        <v>3</v>
      </c>
      <c r="B19" s="20" t="s">
        <v>13</v>
      </c>
      <c r="C19" s="25"/>
      <c r="D19" s="30">
        <f>D17-D18</f>
        <v>254416</v>
      </c>
      <c r="E19" s="26"/>
      <c r="F19" s="30">
        <f>F17-F18</f>
        <v>5113</v>
      </c>
      <c r="G19" s="29"/>
      <c r="H19" s="30">
        <f>H17-H18</f>
        <v>259529</v>
      </c>
      <c r="J19" s="31"/>
    </row>
    <row r="20" spans="1:17" x14ac:dyDescent="0.25">
      <c r="A20" s="24">
        <f t="shared" si="0"/>
        <v>4</v>
      </c>
      <c r="B20" s="20"/>
      <c r="C20" s="25"/>
      <c r="D20" s="26"/>
      <c r="E20" s="26"/>
      <c r="F20" s="26"/>
      <c r="G20" s="29"/>
      <c r="H20" s="26"/>
    </row>
    <row r="21" spans="1:17" ht="18" x14ac:dyDescent="0.25">
      <c r="A21" s="24">
        <f t="shared" si="0"/>
        <v>5</v>
      </c>
      <c r="B21" s="20" t="s">
        <v>14</v>
      </c>
      <c r="C21" s="25"/>
      <c r="D21" s="32">
        <v>9789</v>
      </c>
      <c r="E21" s="26"/>
      <c r="F21" s="32">
        <v>237</v>
      </c>
      <c r="G21" s="28"/>
      <c r="H21" s="32">
        <f>D21+F21</f>
        <v>10026</v>
      </c>
      <c r="J21" s="33"/>
      <c r="K21" s="34"/>
      <c r="L21" s="35"/>
    </row>
    <row r="22" spans="1:17" x14ac:dyDescent="0.25">
      <c r="A22" s="24">
        <f t="shared" si="0"/>
        <v>6</v>
      </c>
      <c r="B22" s="20"/>
      <c r="C22" s="25"/>
      <c r="D22" s="26"/>
      <c r="E22" s="26"/>
      <c r="F22" s="26"/>
      <c r="G22" s="29"/>
      <c r="H22" s="26"/>
      <c r="J22" s="36"/>
      <c r="K22" s="36"/>
      <c r="L22" s="37"/>
    </row>
    <row r="23" spans="1:17" x14ac:dyDescent="0.25">
      <c r="A23" s="24">
        <f t="shared" si="0"/>
        <v>7</v>
      </c>
      <c r="B23" s="20" t="s">
        <v>15</v>
      </c>
      <c r="C23" s="25"/>
      <c r="D23" s="38"/>
      <c r="E23" s="26"/>
      <c r="F23" s="38"/>
      <c r="G23" s="29"/>
      <c r="H23" s="38"/>
      <c r="J23" s="36"/>
      <c r="K23" s="36"/>
      <c r="L23" s="37"/>
    </row>
    <row r="24" spans="1:17" x14ac:dyDescent="0.25">
      <c r="A24" s="24">
        <f t="shared" si="0"/>
        <v>8</v>
      </c>
      <c r="B24" s="20" t="s">
        <v>16</v>
      </c>
      <c r="C24" s="25"/>
      <c r="D24" s="26">
        <f>78775*0.95</f>
        <v>74836.25</v>
      </c>
      <c r="E24" s="26"/>
      <c r="F24" s="26">
        <v>0</v>
      </c>
      <c r="G24" s="29"/>
      <c r="H24" s="26">
        <f t="shared" ref="H24:H29" si="1">D24+F24</f>
        <v>74836.25</v>
      </c>
      <c r="I24" s="39"/>
      <c r="J24" s="36"/>
      <c r="K24" s="77"/>
      <c r="L24" s="35"/>
    </row>
    <row r="25" spans="1:17" x14ac:dyDescent="0.25">
      <c r="A25" s="24">
        <f t="shared" si="0"/>
        <v>9</v>
      </c>
      <c r="B25" s="20" t="s">
        <v>17</v>
      </c>
      <c r="C25" s="25"/>
      <c r="D25" s="26">
        <f>2977+33</f>
        <v>3010</v>
      </c>
      <c r="E25" s="26"/>
      <c r="F25" s="26">
        <v>0</v>
      </c>
      <c r="G25" s="29"/>
      <c r="H25" s="26">
        <f t="shared" si="1"/>
        <v>3010</v>
      </c>
      <c r="I25" s="39"/>
      <c r="J25" s="36"/>
      <c r="K25" s="36"/>
      <c r="L25" s="37"/>
    </row>
    <row r="26" spans="1:17" ht="18" x14ac:dyDescent="0.25">
      <c r="A26" s="24">
        <f t="shared" si="0"/>
        <v>10</v>
      </c>
      <c r="B26" s="20" t="s">
        <v>18</v>
      </c>
      <c r="C26" s="25"/>
      <c r="D26" s="34">
        <v>-240</v>
      </c>
      <c r="E26" s="26"/>
      <c r="F26" s="26">
        <v>-6722</v>
      </c>
      <c r="G26" s="28"/>
      <c r="H26" s="34">
        <f t="shared" si="1"/>
        <v>-6962</v>
      </c>
      <c r="I26" s="39"/>
      <c r="J26" s="41"/>
      <c r="K26" s="26"/>
      <c r="L26" s="42"/>
    </row>
    <row r="27" spans="1:17" x14ac:dyDescent="0.25">
      <c r="A27" s="24">
        <f t="shared" si="0"/>
        <v>11</v>
      </c>
      <c r="B27" s="20" t="s">
        <v>19</v>
      </c>
      <c r="C27" s="25"/>
      <c r="D27" s="26">
        <v>79557</v>
      </c>
      <c r="E27" s="26"/>
      <c r="F27" s="26">
        <v>0</v>
      </c>
      <c r="G27" s="29"/>
      <c r="H27" s="26">
        <f t="shared" si="1"/>
        <v>79557</v>
      </c>
      <c r="I27" s="39"/>
      <c r="J27" s="39"/>
      <c r="L27" s="43"/>
    </row>
    <row r="28" spans="1:17" ht="18" x14ac:dyDescent="0.25">
      <c r="A28" s="24">
        <f t="shared" si="0"/>
        <v>12</v>
      </c>
      <c r="B28" s="20" t="s">
        <v>41</v>
      </c>
      <c r="C28" s="20"/>
      <c r="D28" s="26">
        <f>41688+13</f>
        <v>41701</v>
      </c>
      <c r="E28" s="26"/>
      <c r="F28" s="26">
        <v>-94</v>
      </c>
      <c r="G28" s="28"/>
      <c r="H28" s="26">
        <f t="shared" si="1"/>
        <v>41607</v>
      </c>
      <c r="I28" s="39"/>
      <c r="J28" s="39"/>
      <c r="L28" s="43"/>
    </row>
    <row r="29" spans="1:17" x14ac:dyDescent="0.25">
      <c r="A29" s="24">
        <f t="shared" si="0"/>
        <v>13</v>
      </c>
      <c r="B29" s="20"/>
      <c r="C29" s="20"/>
      <c r="D29" s="30">
        <f>SUM(D24:D28)</f>
        <v>198864.25</v>
      </c>
      <c r="E29" s="26"/>
      <c r="F29" s="30">
        <f>SUM(F24:F28)</f>
        <v>-6816</v>
      </c>
      <c r="G29" s="29"/>
      <c r="H29" s="30">
        <f t="shared" si="1"/>
        <v>192048.25</v>
      </c>
      <c r="I29" s="39"/>
      <c r="J29" s="44"/>
      <c r="K29" s="45"/>
      <c r="L29" s="43"/>
    </row>
    <row r="30" spans="1:17" x14ac:dyDescent="0.25">
      <c r="A30" s="24">
        <f t="shared" si="0"/>
        <v>14</v>
      </c>
      <c r="B30" s="20"/>
      <c r="C30" s="46"/>
      <c r="D30" s="38"/>
      <c r="E30" s="38"/>
      <c r="F30" s="38"/>
      <c r="G30" s="47"/>
      <c r="H30" s="38"/>
      <c r="J30" s="45"/>
      <c r="K30" s="48"/>
      <c r="L30" s="43"/>
    </row>
    <row r="31" spans="1:17" x14ac:dyDescent="0.25">
      <c r="A31" s="24">
        <f t="shared" si="0"/>
        <v>15</v>
      </c>
      <c r="B31" s="20" t="s">
        <v>20</v>
      </c>
      <c r="C31" s="20"/>
      <c r="D31" s="34">
        <f>D19+D21-D29</f>
        <v>65340.75</v>
      </c>
      <c r="E31" s="26"/>
      <c r="F31" s="26">
        <v>12166</v>
      </c>
      <c r="G31" s="29"/>
      <c r="H31" s="34">
        <f>D31+F31</f>
        <v>77506.75</v>
      </c>
      <c r="I31" s="39"/>
      <c r="J31" s="49"/>
      <c r="K31" s="54"/>
      <c r="L31" s="43"/>
      <c r="M31" s="54"/>
      <c r="O31" s="54"/>
      <c r="Q31" s="84"/>
    </row>
    <row r="32" spans="1:17" ht="18" x14ac:dyDescent="0.25">
      <c r="A32" s="24">
        <f t="shared" si="0"/>
        <v>16</v>
      </c>
      <c r="B32" s="20" t="s">
        <v>42</v>
      </c>
      <c r="C32" s="46"/>
      <c r="D32" s="32">
        <f>18749+(3939*0.3)</f>
        <v>19930.7</v>
      </c>
      <c r="E32" s="50"/>
      <c r="F32" s="32">
        <v>3650</v>
      </c>
      <c r="G32" s="51"/>
      <c r="H32" s="32">
        <f>D32+F32</f>
        <v>23580.7</v>
      </c>
      <c r="I32" s="39"/>
      <c r="J32" s="45"/>
      <c r="K32" s="52"/>
      <c r="L32" s="43"/>
    </row>
    <row r="33" spans="1:17" x14ac:dyDescent="0.25">
      <c r="A33" s="24">
        <f t="shared" si="0"/>
        <v>17</v>
      </c>
      <c r="B33" s="20"/>
      <c r="C33" s="20"/>
      <c r="D33" s="33"/>
      <c r="E33" s="33"/>
      <c r="F33" s="33"/>
      <c r="G33" s="35"/>
      <c r="H33" s="33"/>
      <c r="I33" s="39"/>
    </row>
    <row r="34" spans="1:17" ht="15.75" thickBot="1" x14ac:dyDescent="0.3">
      <c r="A34" s="24">
        <f t="shared" si="0"/>
        <v>18</v>
      </c>
      <c r="B34" s="20" t="s">
        <v>21</v>
      </c>
      <c r="C34" s="20"/>
      <c r="D34" s="53">
        <f>D31-D32</f>
        <v>45410.05</v>
      </c>
      <c r="E34" s="33"/>
      <c r="F34" s="53">
        <v>8516</v>
      </c>
      <c r="G34" s="35"/>
      <c r="H34" s="53">
        <f>D34+F34</f>
        <v>53926.05</v>
      </c>
      <c r="I34" s="39"/>
      <c r="J34" s="31"/>
      <c r="K34" s="31"/>
      <c r="M34" s="31"/>
      <c r="O34" s="31"/>
      <c r="Q34" s="84"/>
    </row>
    <row r="35" spans="1:17" x14ac:dyDescent="0.25">
      <c r="A35" s="24">
        <f t="shared" si="0"/>
        <v>19</v>
      </c>
      <c r="B35" s="20"/>
      <c r="C35" s="20"/>
      <c r="D35" s="55"/>
      <c r="E35" s="36"/>
      <c r="F35" s="36"/>
      <c r="G35" s="37"/>
      <c r="H35" s="36"/>
    </row>
    <row r="36" spans="1:17" x14ac:dyDescent="0.25">
      <c r="A36" s="24">
        <f t="shared" si="0"/>
        <v>20</v>
      </c>
      <c r="B36" s="20"/>
      <c r="C36" s="20"/>
      <c r="D36" s="36"/>
      <c r="E36" s="36"/>
      <c r="F36" s="36"/>
      <c r="G36" s="37"/>
      <c r="H36" s="36"/>
    </row>
    <row r="37" spans="1:17" x14ac:dyDescent="0.25">
      <c r="A37" s="24">
        <f t="shared" si="0"/>
        <v>21</v>
      </c>
      <c r="B37" s="20" t="s">
        <v>22</v>
      </c>
      <c r="C37" s="20"/>
      <c r="D37" s="56">
        <f>(D34/(602221+(H48/2)))*100</f>
        <v>7.5232083723061258</v>
      </c>
      <c r="E37" s="74"/>
      <c r="F37" s="58"/>
      <c r="G37" s="75"/>
      <c r="H37" s="56">
        <f>(H34/(606680+(H48/2)))*100</f>
        <v>8.8685624463533337</v>
      </c>
      <c r="I37" s="39"/>
      <c r="J37" s="39"/>
    </row>
    <row r="38" spans="1:17" x14ac:dyDescent="0.25">
      <c r="A38" s="24">
        <f t="shared" si="0"/>
        <v>22</v>
      </c>
      <c r="B38" s="20"/>
      <c r="C38" s="20"/>
      <c r="D38" s="36"/>
      <c r="E38" s="36"/>
      <c r="F38" s="36"/>
      <c r="G38" s="37"/>
      <c r="H38" s="36"/>
      <c r="I38" s="39"/>
      <c r="J38" s="39"/>
    </row>
    <row r="39" spans="1:17" x14ac:dyDescent="0.25">
      <c r="A39" s="24">
        <v>23</v>
      </c>
      <c r="B39" s="20" t="s">
        <v>23</v>
      </c>
      <c r="C39" s="20"/>
      <c r="D39" s="27">
        <f>84281-D48+D34</f>
        <v>87038.05</v>
      </c>
      <c r="E39" s="39"/>
      <c r="F39" s="39"/>
      <c r="G39" s="57"/>
      <c r="H39" s="27">
        <f>92703-51169+H34</f>
        <v>95460.05</v>
      </c>
      <c r="I39" s="39"/>
      <c r="J39" s="39"/>
      <c r="K39" s="31"/>
    </row>
    <row r="40" spans="1:17" x14ac:dyDescent="0.25">
      <c r="A40" s="24">
        <v>24</v>
      </c>
      <c r="B40" s="20" t="s">
        <v>30</v>
      </c>
      <c r="C40" s="20"/>
      <c r="D40" s="26">
        <v>1357684</v>
      </c>
      <c r="E40" s="39"/>
      <c r="F40" s="39"/>
      <c r="G40" s="57"/>
      <c r="H40" s="26">
        <v>1360058</v>
      </c>
      <c r="I40" s="39"/>
      <c r="J40" s="39"/>
    </row>
    <row r="41" spans="1:17" x14ac:dyDescent="0.25">
      <c r="A41" s="24">
        <v>25</v>
      </c>
      <c r="B41" s="20" t="s">
        <v>24</v>
      </c>
      <c r="C41" s="20"/>
      <c r="D41" s="58">
        <f>D39/D40*100</f>
        <v>6.4107737883042013</v>
      </c>
      <c r="E41" s="39"/>
      <c r="F41" s="39"/>
      <c r="G41" s="57"/>
      <c r="H41" s="58">
        <f>H39/H40*100</f>
        <v>7.0188219914150727</v>
      </c>
      <c r="I41" s="39"/>
      <c r="J41" s="39"/>
    </row>
    <row r="42" spans="1:17" x14ac:dyDescent="0.25">
      <c r="A42" s="24"/>
      <c r="B42" s="20"/>
      <c r="C42" s="20"/>
      <c r="D42" s="36"/>
      <c r="E42" s="36"/>
      <c r="F42" s="36"/>
      <c r="G42" s="37"/>
      <c r="H42" s="36"/>
      <c r="I42" s="39"/>
      <c r="J42" s="39"/>
    </row>
    <row r="43" spans="1:17" x14ac:dyDescent="0.25">
      <c r="A43" s="24"/>
      <c r="B43" s="20"/>
      <c r="C43" s="20"/>
      <c r="D43" s="36"/>
      <c r="E43" s="36"/>
      <c r="F43" s="36"/>
      <c r="G43" s="37"/>
      <c r="H43" s="36"/>
      <c r="I43" s="39"/>
      <c r="J43" s="39"/>
    </row>
    <row r="44" spans="1:17" x14ac:dyDescent="0.25">
      <c r="A44" s="59">
        <v>1</v>
      </c>
      <c r="B44" s="60" t="s">
        <v>55</v>
      </c>
      <c r="C44" s="39"/>
      <c r="D44" s="39"/>
      <c r="E44" s="39"/>
      <c r="F44" s="39"/>
      <c r="H44" s="36"/>
      <c r="I44" s="39"/>
      <c r="J44" s="39"/>
    </row>
    <row r="45" spans="1:17" x14ac:dyDescent="0.25">
      <c r="A45" s="59"/>
      <c r="B45" s="60" t="s">
        <v>54</v>
      </c>
      <c r="C45" s="39"/>
      <c r="D45" s="39"/>
      <c r="E45" s="39"/>
      <c r="F45" s="39"/>
      <c r="H45" s="36"/>
      <c r="I45" s="39"/>
      <c r="J45" s="39"/>
    </row>
    <row r="46" spans="1:17" x14ac:dyDescent="0.25">
      <c r="A46" s="59"/>
      <c r="B46" s="60" t="s">
        <v>45</v>
      </c>
      <c r="C46" s="39"/>
      <c r="D46" s="39"/>
      <c r="E46" s="39"/>
      <c r="F46" s="39"/>
      <c r="H46" s="36"/>
      <c r="I46" s="39"/>
      <c r="J46" s="39"/>
    </row>
    <row r="47" spans="1:17" ht="24.75" x14ac:dyDescent="0.25">
      <c r="B47" s="60"/>
      <c r="C47" s="39"/>
      <c r="D47" s="79" t="s">
        <v>25</v>
      </c>
      <c r="E47" s="80"/>
      <c r="F47" s="79" t="s">
        <v>39</v>
      </c>
      <c r="H47" s="79" t="s">
        <v>44</v>
      </c>
      <c r="I47" s="39"/>
      <c r="J47" s="39"/>
    </row>
    <row r="48" spans="1:17" x14ac:dyDescent="0.25">
      <c r="B48" s="61" t="s">
        <v>21</v>
      </c>
      <c r="C48" s="39"/>
      <c r="D48" s="62">
        <v>42653</v>
      </c>
      <c r="E48" s="62"/>
      <c r="F48" s="62">
        <f>D34</f>
        <v>45410.05</v>
      </c>
      <c r="H48" s="62">
        <f>F48-D48</f>
        <v>2757.0500000000029</v>
      </c>
      <c r="I48" s="39"/>
      <c r="J48" s="39"/>
    </row>
    <row r="49" spans="1:10" x14ac:dyDescent="0.25">
      <c r="B49" s="61" t="s">
        <v>27</v>
      </c>
      <c r="C49" s="39"/>
      <c r="D49" s="63">
        <v>8845</v>
      </c>
      <c r="E49" s="62"/>
      <c r="F49" s="63">
        <f>ROUND(((606680+(H48/2))*0.085+1)-71-F48,0)</f>
        <v>6205</v>
      </c>
      <c r="H49" s="63">
        <f>F49-D49</f>
        <v>-2640</v>
      </c>
      <c r="I49" s="39"/>
      <c r="J49" s="39"/>
    </row>
    <row r="50" spans="1:10" x14ac:dyDescent="0.25">
      <c r="B50" s="61" t="s">
        <v>43</v>
      </c>
      <c r="D50" s="62">
        <f>D48+D49</f>
        <v>51498</v>
      </c>
      <c r="E50" s="62"/>
      <c r="F50" s="62">
        <f>F48+F49</f>
        <v>51615.05</v>
      </c>
      <c r="H50" s="62">
        <f>F50-D50</f>
        <v>117.05000000000291</v>
      </c>
      <c r="I50" s="39"/>
      <c r="J50" s="39"/>
    </row>
    <row r="51" spans="1:10" x14ac:dyDescent="0.25">
      <c r="A51" s="59"/>
      <c r="B51" s="45"/>
      <c r="D51" s="62"/>
      <c r="E51" s="62"/>
      <c r="F51" s="62"/>
      <c r="H51" s="36"/>
      <c r="I51" s="39"/>
      <c r="J51" s="39"/>
    </row>
    <row r="52" spans="1:10" x14ac:dyDescent="0.25">
      <c r="A52" s="59"/>
      <c r="B52" s="45" t="s">
        <v>52</v>
      </c>
      <c r="D52" s="62"/>
      <c r="E52" s="62"/>
      <c r="F52" s="62"/>
      <c r="H52" s="36"/>
      <c r="I52" s="39"/>
      <c r="J52" s="39"/>
    </row>
    <row r="53" spans="1:10" x14ac:dyDescent="0.25">
      <c r="B53" s="61"/>
      <c r="D53" s="62"/>
      <c r="E53" s="62"/>
      <c r="F53" s="62"/>
      <c r="H53" s="36"/>
      <c r="I53" s="39"/>
      <c r="J53" s="39"/>
    </row>
    <row r="54" spans="1:10" ht="15.75" x14ac:dyDescent="0.25">
      <c r="A54" s="20"/>
      <c r="B54" s="65" t="s">
        <v>28</v>
      </c>
      <c r="C54" s="66"/>
      <c r="D54" s="66"/>
      <c r="E54" s="65"/>
      <c r="F54" s="66"/>
      <c r="G54" s="67"/>
      <c r="H54" s="68" t="s">
        <v>34</v>
      </c>
    </row>
    <row r="55" spans="1:10" x14ac:dyDescent="0.25">
      <c r="B55" s="39"/>
      <c r="C55" s="39"/>
    </row>
    <row r="56" spans="1:10" x14ac:dyDescent="0.25">
      <c r="D56" s="31"/>
      <c r="H56" s="31"/>
    </row>
    <row r="57" spans="1:10" x14ac:dyDescent="0.25">
      <c r="D57" s="64"/>
      <c r="F57" s="64"/>
      <c r="H57" s="64"/>
      <c r="J57" s="64"/>
    </row>
    <row r="60" spans="1:10" x14ac:dyDescent="0.25">
      <c r="D60" s="31"/>
      <c r="H60" s="31"/>
    </row>
  </sheetData>
  <mergeCells count="6">
    <mergeCell ref="B11:H11"/>
    <mergeCell ref="B5:H5"/>
    <mergeCell ref="B7:H7"/>
    <mergeCell ref="B8:H8"/>
    <mergeCell ref="B9:H9"/>
    <mergeCell ref="B10:H10"/>
  </mergeCells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ECB1-D3CD-4540-8A9C-1216B4CC0779}">
  <sheetPr>
    <pageSetUpPr fitToPage="1"/>
  </sheetPr>
  <dimension ref="A1:Q63"/>
  <sheetViews>
    <sheetView topLeftCell="A22" zoomScaleNormal="100" workbookViewId="0">
      <selection activeCell="J10" sqref="J10"/>
    </sheetView>
  </sheetViews>
  <sheetFormatPr defaultColWidth="9.140625" defaultRowHeight="15" x14ac:dyDescent="0.25"/>
  <cols>
    <col min="1" max="1" width="4" style="1" customWidth="1"/>
    <col min="2" max="2" width="50.140625" style="1" customWidth="1"/>
    <col min="3" max="3" width="8" style="1" customWidth="1"/>
    <col min="4" max="4" width="19.7109375" style="1" customWidth="1"/>
    <col min="5" max="5" width="4.42578125" style="1" customWidth="1"/>
    <col min="6" max="6" width="15.5703125" style="1" customWidth="1"/>
    <col min="7" max="7" width="3.85546875" style="43" customWidth="1"/>
    <col min="8" max="8" width="13.140625" style="1" customWidth="1"/>
    <col min="9" max="9" width="4" style="1" customWidth="1"/>
    <col min="10" max="10" width="9.140625" style="1"/>
    <col min="11" max="11" width="13.140625" style="1" bestFit="1" customWidth="1"/>
    <col min="12" max="12" width="10.140625" style="1" bestFit="1" customWidth="1"/>
    <col min="13" max="13" width="12.42578125" style="1" bestFit="1" customWidth="1"/>
    <col min="14" max="14" width="9.140625" style="1"/>
    <col min="15" max="15" width="12.42578125" style="1" bestFit="1" customWidth="1"/>
    <col min="16" max="16" width="9.140625" style="1"/>
    <col min="17" max="17" width="12.42578125" style="1" bestFit="1" customWidth="1"/>
    <col min="18" max="16384" width="9.140625" style="1"/>
  </cols>
  <sheetData>
    <row r="1" spans="1:9" ht="15.75" x14ac:dyDescent="0.25">
      <c r="H1" s="4"/>
    </row>
    <row r="2" spans="1:9" ht="18.75" x14ac:dyDescent="0.3">
      <c r="A2"/>
      <c r="B2" s="5"/>
      <c r="C2" s="6"/>
      <c r="D2" s="7"/>
      <c r="E2" s="7"/>
      <c r="F2" s="8"/>
      <c r="G2" s="8"/>
      <c r="H2" s="9" t="s">
        <v>56</v>
      </c>
    </row>
    <row r="3" spans="1:9" ht="18.75" x14ac:dyDescent="0.3">
      <c r="A3"/>
      <c r="B3" s="10"/>
      <c r="C3" s="10"/>
      <c r="D3" s="11"/>
      <c r="E3" s="11"/>
      <c r="F3" s="2"/>
      <c r="G3" s="3"/>
      <c r="H3" s="2"/>
      <c r="I3" s="2"/>
    </row>
    <row r="4" spans="1:9" ht="18.75" x14ac:dyDescent="0.3">
      <c r="A4"/>
      <c r="B4" s="10"/>
      <c r="C4" s="10"/>
      <c r="D4" s="11"/>
      <c r="E4" s="11"/>
      <c r="F4" s="2"/>
      <c r="G4" s="3"/>
      <c r="H4" s="2"/>
      <c r="I4" s="2"/>
    </row>
    <row r="5" spans="1:9" ht="15.75" x14ac:dyDescent="0.25">
      <c r="A5" s="12"/>
      <c r="B5" s="85" t="s">
        <v>0</v>
      </c>
      <c r="C5" s="85"/>
      <c r="D5" s="85"/>
      <c r="E5" s="85"/>
      <c r="F5" s="85"/>
      <c r="G5" s="85"/>
      <c r="H5" s="85"/>
      <c r="I5" s="16"/>
    </row>
    <row r="6" spans="1:9" x14ac:dyDescent="0.25">
      <c r="A6" s="12"/>
      <c r="B6" s="14"/>
      <c r="C6" s="14"/>
      <c r="D6" s="14"/>
      <c r="E6" s="14"/>
      <c r="F6" s="14"/>
      <c r="G6" s="15"/>
      <c r="H6" s="14"/>
      <c r="I6" s="14"/>
    </row>
    <row r="7" spans="1:9" ht="15.75" x14ac:dyDescent="0.25">
      <c r="A7" s="12"/>
      <c r="B7" s="85" t="s">
        <v>1</v>
      </c>
      <c r="C7" s="85"/>
      <c r="D7" s="85"/>
      <c r="E7" s="85"/>
      <c r="F7" s="85"/>
      <c r="G7" s="85"/>
      <c r="H7" s="85"/>
      <c r="I7" s="13"/>
    </row>
    <row r="8" spans="1:9" ht="15.75" x14ac:dyDescent="0.25">
      <c r="A8" s="12"/>
      <c r="B8" s="85" t="s">
        <v>2</v>
      </c>
      <c r="C8" s="85"/>
      <c r="D8" s="85"/>
      <c r="E8" s="85"/>
      <c r="F8" s="85"/>
      <c r="G8" s="85"/>
      <c r="H8" s="85"/>
      <c r="I8" s="13"/>
    </row>
    <row r="9" spans="1:9" ht="15.75" x14ac:dyDescent="0.25">
      <c r="A9" s="12"/>
      <c r="B9" s="85" t="s">
        <v>3</v>
      </c>
      <c r="C9" s="85"/>
      <c r="D9" s="85"/>
      <c r="E9" s="85"/>
      <c r="F9" s="85"/>
      <c r="G9" s="85"/>
      <c r="H9" s="85"/>
      <c r="I9" s="13"/>
    </row>
    <row r="10" spans="1:9" ht="18.75" x14ac:dyDescent="0.25">
      <c r="A10" s="12"/>
      <c r="B10" s="85" t="s">
        <v>51</v>
      </c>
      <c r="C10" s="85"/>
      <c r="D10" s="85"/>
      <c r="E10" s="85"/>
      <c r="F10" s="85"/>
      <c r="G10" s="85"/>
      <c r="H10" s="85"/>
      <c r="I10" s="13"/>
    </row>
    <row r="11" spans="1:9" ht="15.75" x14ac:dyDescent="0.25">
      <c r="A11" s="12"/>
      <c r="B11" s="85" t="s">
        <v>4</v>
      </c>
      <c r="C11" s="85"/>
      <c r="D11" s="85"/>
      <c r="E11" s="85"/>
      <c r="F11" s="85"/>
      <c r="G11" s="85"/>
      <c r="H11" s="85"/>
      <c r="I11" s="13"/>
    </row>
    <row r="12" spans="1:9" ht="15.75" x14ac:dyDescent="0.25">
      <c r="A12" s="12"/>
      <c r="B12" s="13"/>
      <c r="C12" s="13"/>
      <c r="D12" s="13"/>
      <c r="E12" s="13"/>
      <c r="F12" s="13"/>
      <c r="G12" s="15"/>
      <c r="H12" s="13"/>
    </row>
    <row r="13" spans="1:9" ht="15.75" x14ac:dyDescent="0.25">
      <c r="A13" s="12"/>
      <c r="B13" s="13"/>
      <c r="C13" s="13"/>
      <c r="D13" s="13" t="s">
        <v>5</v>
      </c>
      <c r="E13" s="13"/>
      <c r="F13" s="13" t="s">
        <v>6</v>
      </c>
      <c r="G13" s="15"/>
      <c r="H13" s="17" t="s">
        <v>5</v>
      </c>
    </row>
    <row r="14" spans="1:9" ht="15.75" x14ac:dyDescent="0.25">
      <c r="A14" s="12"/>
      <c r="B14" s="13"/>
      <c r="C14" s="13"/>
      <c r="D14" s="13" t="s">
        <v>7</v>
      </c>
      <c r="E14" s="13"/>
      <c r="F14" s="13">
        <v>2024</v>
      </c>
      <c r="G14" s="15"/>
      <c r="H14" s="17" t="s">
        <v>8</v>
      </c>
    </row>
    <row r="15" spans="1:9" ht="18.75" x14ac:dyDescent="0.25">
      <c r="A15" s="12"/>
      <c r="B15" s="13"/>
      <c r="C15" s="13"/>
      <c r="D15" s="18" t="s">
        <v>9</v>
      </c>
      <c r="E15" s="13"/>
      <c r="F15" s="19" t="s">
        <v>10</v>
      </c>
      <c r="G15" s="15"/>
      <c r="H15" s="19" t="s">
        <v>10</v>
      </c>
    </row>
    <row r="16" spans="1:9" x14ac:dyDescent="0.25">
      <c r="A16" s="20"/>
      <c r="B16" s="21"/>
      <c r="C16" s="21"/>
      <c r="D16" s="22"/>
      <c r="E16" s="22"/>
      <c r="F16" s="22"/>
      <c r="G16" s="23"/>
      <c r="H16" s="22"/>
    </row>
    <row r="17" spans="1:17" ht="18" x14ac:dyDescent="0.25">
      <c r="A17" s="24">
        <v>1</v>
      </c>
      <c r="B17" s="20" t="s">
        <v>11</v>
      </c>
      <c r="C17" s="25"/>
      <c r="D17" s="26">
        <f>777093+144</f>
        <v>777237</v>
      </c>
      <c r="E17" s="27"/>
      <c r="F17" s="26">
        <v>5113</v>
      </c>
      <c r="G17" s="28"/>
      <c r="H17" s="26">
        <f>D17+F17</f>
        <v>782350</v>
      </c>
    </row>
    <row r="18" spans="1:17" x14ac:dyDescent="0.25">
      <c r="A18" s="24">
        <f>A17+1</f>
        <v>2</v>
      </c>
      <c r="B18" s="20" t="s">
        <v>12</v>
      </c>
      <c r="C18" s="25"/>
      <c r="D18" s="26">
        <f>522703+118</f>
        <v>522821</v>
      </c>
      <c r="E18" s="26"/>
      <c r="F18" s="26">
        <v>0</v>
      </c>
      <c r="G18" s="29"/>
      <c r="H18" s="26">
        <f>D18+F18</f>
        <v>522821</v>
      </c>
    </row>
    <row r="19" spans="1:17" x14ac:dyDescent="0.25">
      <c r="A19" s="24">
        <f t="shared" ref="A19:A38" si="0">A18+1</f>
        <v>3</v>
      </c>
      <c r="B19" s="20" t="s">
        <v>13</v>
      </c>
      <c r="C19" s="25"/>
      <c r="D19" s="30">
        <f>D17-D18</f>
        <v>254416</v>
      </c>
      <c r="E19" s="26"/>
      <c r="F19" s="30">
        <f>F17-F18</f>
        <v>5113</v>
      </c>
      <c r="G19" s="29"/>
      <c r="H19" s="30">
        <f>H17-H18</f>
        <v>259529</v>
      </c>
      <c r="J19" s="31"/>
    </row>
    <row r="20" spans="1:17" x14ac:dyDescent="0.25">
      <c r="A20" s="24">
        <f t="shared" si="0"/>
        <v>4</v>
      </c>
      <c r="B20" s="20"/>
      <c r="C20" s="25"/>
      <c r="D20" s="26"/>
      <c r="E20" s="26"/>
      <c r="F20" s="26"/>
      <c r="G20" s="29"/>
      <c r="H20" s="26"/>
    </row>
    <row r="21" spans="1:17" ht="18" x14ac:dyDescent="0.25">
      <c r="A21" s="24">
        <f t="shared" si="0"/>
        <v>5</v>
      </c>
      <c r="B21" s="20" t="s">
        <v>14</v>
      </c>
      <c r="C21" s="25"/>
      <c r="D21" s="32">
        <v>9789</v>
      </c>
      <c r="E21" s="26"/>
      <c r="F21" s="32">
        <v>237</v>
      </c>
      <c r="G21" s="28"/>
      <c r="H21" s="32">
        <f>D21+F21</f>
        <v>10026</v>
      </c>
      <c r="J21" s="33"/>
      <c r="K21" s="34"/>
      <c r="L21" s="35"/>
    </row>
    <row r="22" spans="1:17" x14ac:dyDescent="0.25">
      <c r="A22" s="24">
        <f t="shared" si="0"/>
        <v>6</v>
      </c>
      <c r="B22" s="20"/>
      <c r="C22" s="25"/>
      <c r="D22" s="26"/>
      <c r="E22" s="26"/>
      <c r="F22" s="26"/>
      <c r="G22" s="29"/>
      <c r="H22" s="26"/>
      <c r="J22" s="36"/>
      <c r="K22" s="36"/>
      <c r="L22" s="37"/>
    </row>
    <row r="23" spans="1:17" x14ac:dyDescent="0.25">
      <c r="A23" s="24">
        <f t="shared" si="0"/>
        <v>7</v>
      </c>
      <c r="B23" s="20" t="s">
        <v>15</v>
      </c>
      <c r="C23" s="25"/>
      <c r="D23" s="38"/>
      <c r="E23" s="26"/>
      <c r="F23" s="38"/>
      <c r="G23" s="29"/>
      <c r="H23" s="38"/>
      <c r="J23" s="36"/>
      <c r="K23" s="36"/>
      <c r="L23" s="37"/>
    </row>
    <row r="24" spans="1:17" x14ac:dyDescent="0.25">
      <c r="A24" s="24">
        <f t="shared" si="0"/>
        <v>8</v>
      </c>
      <c r="B24" s="20" t="s">
        <v>16</v>
      </c>
      <c r="C24" s="25"/>
      <c r="D24" s="26">
        <f>78775*0.9</f>
        <v>70897.5</v>
      </c>
      <c r="E24" s="26"/>
      <c r="F24" s="26">
        <v>0</v>
      </c>
      <c r="G24" s="29"/>
      <c r="H24" s="26">
        <f t="shared" ref="H24:H29" si="1">D24+F24</f>
        <v>70897.5</v>
      </c>
      <c r="I24" s="39"/>
      <c r="J24" s="36"/>
      <c r="K24" s="77"/>
      <c r="L24" s="78"/>
    </row>
    <row r="25" spans="1:17" x14ac:dyDescent="0.25">
      <c r="A25" s="24">
        <f t="shared" si="0"/>
        <v>9</v>
      </c>
      <c r="B25" s="20" t="s">
        <v>17</v>
      </c>
      <c r="C25" s="25"/>
      <c r="D25" s="26">
        <f>2977+33</f>
        <v>3010</v>
      </c>
      <c r="E25" s="26"/>
      <c r="F25" s="26">
        <v>0</v>
      </c>
      <c r="G25" s="29"/>
      <c r="H25" s="26">
        <f t="shared" si="1"/>
        <v>3010</v>
      </c>
      <c r="I25" s="39"/>
      <c r="J25" s="36"/>
      <c r="K25" s="36"/>
      <c r="L25" s="37"/>
    </row>
    <row r="26" spans="1:17" ht="18" x14ac:dyDescent="0.25">
      <c r="A26" s="24">
        <f t="shared" si="0"/>
        <v>10</v>
      </c>
      <c r="B26" s="20" t="s">
        <v>18</v>
      </c>
      <c r="C26" s="25"/>
      <c r="D26" s="34">
        <v>-240</v>
      </c>
      <c r="E26" s="26"/>
      <c r="F26" s="26">
        <v>-6722</v>
      </c>
      <c r="G26" s="28"/>
      <c r="H26" s="34">
        <f t="shared" si="1"/>
        <v>-6962</v>
      </c>
      <c r="I26" s="39"/>
      <c r="J26" s="41"/>
      <c r="K26" s="26"/>
      <c r="L26" s="42"/>
    </row>
    <row r="27" spans="1:17" x14ac:dyDescent="0.25">
      <c r="A27" s="24">
        <f t="shared" si="0"/>
        <v>11</v>
      </c>
      <c r="B27" s="20" t="s">
        <v>19</v>
      </c>
      <c r="C27" s="25"/>
      <c r="D27" s="26">
        <v>79557</v>
      </c>
      <c r="E27" s="26"/>
      <c r="F27" s="26">
        <v>0</v>
      </c>
      <c r="G27" s="29"/>
      <c r="H27" s="26">
        <f t="shared" si="1"/>
        <v>79557</v>
      </c>
      <c r="I27" s="39"/>
      <c r="J27" s="39"/>
      <c r="L27" s="43"/>
    </row>
    <row r="28" spans="1:17" ht="18" x14ac:dyDescent="0.25">
      <c r="A28" s="24">
        <f t="shared" si="0"/>
        <v>12</v>
      </c>
      <c r="B28" s="20" t="s">
        <v>41</v>
      </c>
      <c r="C28" s="20"/>
      <c r="D28" s="26">
        <f>41688+13</f>
        <v>41701</v>
      </c>
      <c r="E28" s="26"/>
      <c r="F28" s="26">
        <v>-94</v>
      </c>
      <c r="G28" s="28"/>
      <c r="H28" s="26">
        <f t="shared" si="1"/>
        <v>41607</v>
      </c>
      <c r="I28" s="39"/>
      <c r="J28" s="39"/>
      <c r="L28" s="43"/>
    </row>
    <row r="29" spans="1:17" x14ac:dyDescent="0.25">
      <c r="A29" s="24">
        <f t="shared" si="0"/>
        <v>13</v>
      </c>
      <c r="B29" s="20"/>
      <c r="C29" s="20"/>
      <c r="D29" s="30">
        <f>SUM(D24:D28)</f>
        <v>194925.5</v>
      </c>
      <c r="E29" s="26"/>
      <c r="F29" s="30">
        <f>SUM(F24:F28)</f>
        <v>-6816</v>
      </c>
      <c r="G29" s="29"/>
      <c r="H29" s="30">
        <f t="shared" si="1"/>
        <v>188109.5</v>
      </c>
      <c r="I29" s="39"/>
      <c r="J29" s="44"/>
      <c r="K29" s="45"/>
      <c r="L29" s="43"/>
    </row>
    <row r="30" spans="1:17" x14ac:dyDescent="0.25">
      <c r="A30" s="24">
        <f t="shared" si="0"/>
        <v>14</v>
      </c>
      <c r="B30" s="20"/>
      <c r="C30" s="46"/>
      <c r="D30" s="38"/>
      <c r="E30" s="38"/>
      <c r="F30" s="38"/>
      <c r="G30" s="47"/>
      <c r="H30" s="38"/>
      <c r="J30" s="45"/>
      <c r="K30" s="48"/>
      <c r="L30" s="43"/>
    </row>
    <row r="31" spans="1:17" x14ac:dyDescent="0.25">
      <c r="A31" s="24">
        <f t="shared" si="0"/>
        <v>15</v>
      </c>
      <c r="B31" s="20" t="s">
        <v>20</v>
      </c>
      <c r="C31" s="20"/>
      <c r="D31" s="34">
        <f>D19+D21-D29-1</f>
        <v>69278.5</v>
      </c>
      <c r="E31" s="26"/>
      <c r="F31" s="26">
        <f>F19+F21-F29</f>
        <v>12166</v>
      </c>
      <c r="G31" s="29"/>
      <c r="H31" s="34">
        <f>D31+F31</f>
        <v>81444.5</v>
      </c>
      <c r="I31" s="39"/>
      <c r="J31" s="49"/>
      <c r="K31" s="54"/>
      <c r="L31" s="43"/>
      <c r="M31" s="54"/>
      <c r="O31" s="54"/>
      <c r="Q31" s="84"/>
    </row>
    <row r="32" spans="1:17" ht="18" x14ac:dyDescent="0.25">
      <c r="A32" s="24">
        <f t="shared" si="0"/>
        <v>16</v>
      </c>
      <c r="B32" s="20" t="s">
        <v>42</v>
      </c>
      <c r="C32" s="46"/>
      <c r="D32" s="32">
        <f>18749+(7877*0.3)</f>
        <v>21112.1</v>
      </c>
      <c r="E32" s="50"/>
      <c r="F32" s="32">
        <f>F31*0.3</f>
        <v>3649.7999999999997</v>
      </c>
      <c r="G32" s="51"/>
      <c r="H32" s="32">
        <f>D32+F32</f>
        <v>24761.899999999998</v>
      </c>
      <c r="I32" s="39"/>
      <c r="J32" s="45"/>
      <c r="K32" s="52"/>
      <c r="L32" s="43"/>
    </row>
    <row r="33" spans="1:17" x14ac:dyDescent="0.25">
      <c r="A33" s="24">
        <f t="shared" si="0"/>
        <v>17</v>
      </c>
      <c r="B33" s="20"/>
      <c r="C33" s="20"/>
      <c r="D33" s="33"/>
      <c r="E33" s="33"/>
      <c r="F33" s="33"/>
      <c r="G33" s="35"/>
      <c r="H33" s="33"/>
      <c r="I33" s="39"/>
    </row>
    <row r="34" spans="1:17" ht="15.75" thickBot="1" x14ac:dyDescent="0.3">
      <c r="A34" s="24">
        <f t="shared" si="0"/>
        <v>18</v>
      </c>
      <c r="B34" s="20" t="s">
        <v>21</v>
      </c>
      <c r="C34" s="20"/>
      <c r="D34" s="53">
        <f>D31-D32+1</f>
        <v>48167.4</v>
      </c>
      <c r="E34" s="33"/>
      <c r="F34" s="53">
        <f>F31-F32</f>
        <v>8516.2000000000007</v>
      </c>
      <c r="G34" s="35"/>
      <c r="H34" s="53">
        <f>D34+F34-1</f>
        <v>56682.600000000006</v>
      </c>
      <c r="I34" s="39"/>
      <c r="J34" s="31"/>
      <c r="K34" s="31"/>
      <c r="M34" s="31"/>
      <c r="O34" s="31"/>
      <c r="Q34" s="84"/>
    </row>
    <row r="35" spans="1:17" x14ac:dyDescent="0.25">
      <c r="A35" s="24">
        <f t="shared" si="0"/>
        <v>19</v>
      </c>
      <c r="B35" s="20"/>
      <c r="C35" s="20"/>
      <c r="D35" s="55"/>
      <c r="E35" s="36"/>
      <c r="F35" s="36"/>
      <c r="G35" s="37"/>
      <c r="H35" s="36"/>
    </row>
    <row r="36" spans="1:17" x14ac:dyDescent="0.25">
      <c r="A36" s="24">
        <f t="shared" si="0"/>
        <v>20</v>
      </c>
      <c r="B36" s="20"/>
      <c r="C36" s="20"/>
      <c r="D36" s="36"/>
      <c r="E36" s="36"/>
      <c r="F36" s="36"/>
      <c r="G36" s="37"/>
      <c r="H36" s="36"/>
    </row>
    <row r="37" spans="1:17" x14ac:dyDescent="0.25">
      <c r="A37" s="24">
        <f t="shared" si="0"/>
        <v>21</v>
      </c>
      <c r="B37" s="20" t="s">
        <v>22</v>
      </c>
      <c r="C37" s="20"/>
      <c r="D37" s="56">
        <f>(D34/(602221+(H48/2)))*100</f>
        <v>7.9618406084715128</v>
      </c>
      <c r="E37" s="74"/>
      <c r="F37" s="58"/>
      <c r="G37" s="75"/>
      <c r="H37" s="56">
        <f>(H34/(606680+(H48/2)))*100</f>
        <v>9.3008106495632372</v>
      </c>
      <c r="I37" s="39"/>
      <c r="J37" s="39"/>
    </row>
    <row r="38" spans="1:17" x14ac:dyDescent="0.25">
      <c r="A38" s="24">
        <f t="shared" si="0"/>
        <v>22</v>
      </c>
      <c r="B38" s="20"/>
      <c r="C38" s="20"/>
      <c r="D38" s="36"/>
      <c r="E38" s="36"/>
      <c r="F38" s="36"/>
      <c r="G38" s="37"/>
      <c r="H38" s="36"/>
      <c r="I38" s="39"/>
      <c r="J38" s="39"/>
    </row>
    <row r="39" spans="1:17" x14ac:dyDescent="0.25">
      <c r="A39" s="24">
        <v>23</v>
      </c>
      <c r="B39" s="20" t="s">
        <v>23</v>
      </c>
      <c r="C39" s="20"/>
      <c r="D39" s="27">
        <f>84281-D48+D34</f>
        <v>89795.4</v>
      </c>
      <c r="E39" s="39"/>
      <c r="F39" s="39"/>
      <c r="G39" s="57"/>
      <c r="H39" s="27">
        <f>92703-51169+H34</f>
        <v>98216.6</v>
      </c>
      <c r="I39" s="39"/>
      <c r="J39" s="39"/>
      <c r="K39" s="31"/>
    </row>
    <row r="40" spans="1:17" x14ac:dyDescent="0.25">
      <c r="A40" s="24">
        <v>24</v>
      </c>
      <c r="B40" s="20" t="s">
        <v>30</v>
      </c>
      <c r="C40" s="20"/>
      <c r="D40" s="26">
        <v>1357684</v>
      </c>
      <c r="E40" s="39"/>
      <c r="F40" s="39"/>
      <c r="G40" s="57"/>
      <c r="H40" s="26">
        <v>1360058</v>
      </c>
      <c r="I40" s="39"/>
      <c r="J40" s="39"/>
    </row>
    <row r="41" spans="1:17" x14ac:dyDescent="0.25">
      <c r="A41" s="24">
        <v>25</v>
      </c>
      <c r="B41" s="20" t="s">
        <v>24</v>
      </c>
      <c r="C41" s="20"/>
      <c r="D41" s="58">
        <f>D39/D40*100</f>
        <v>6.6138659658653998</v>
      </c>
      <c r="E41" s="58"/>
      <c r="F41" s="58"/>
      <c r="G41" s="69"/>
      <c r="H41" s="58">
        <f>H39/H40*100</f>
        <v>7.2215008477579641</v>
      </c>
      <c r="I41" s="39"/>
      <c r="J41" s="39"/>
    </row>
    <row r="42" spans="1:17" x14ac:dyDescent="0.25">
      <c r="A42" s="24"/>
      <c r="B42" s="20"/>
      <c r="C42" s="20"/>
      <c r="D42" s="36"/>
      <c r="E42" s="36"/>
      <c r="F42" s="36"/>
      <c r="G42" s="37"/>
      <c r="H42" s="36"/>
      <c r="I42" s="39"/>
      <c r="J42" s="39"/>
    </row>
    <row r="43" spans="1:17" x14ac:dyDescent="0.25">
      <c r="A43" s="24"/>
      <c r="B43" s="20"/>
      <c r="C43" s="20"/>
      <c r="D43" s="36"/>
      <c r="E43" s="36"/>
      <c r="F43" s="36"/>
      <c r="G43" s="37"/>
      <c r="H43" s="36"/>
      <c r="I43" s="39"/>
      <c r="J43" s="39"/>
    </row>
    <row r="44" spans="1:17" x14ac:dyDescent="0.25">
      <c r="A44" s="59">
        <v>1</v>
      </c>
      <c r="B44" s="60" t="s">
        <v>55</v>
      </c>
      <c r="C44" s="39"/>
      <c r="D44" s="39"/>
      <c r="E44" s="39"/>
      <c r="F44" s="39"/>
      <c r="H44" s="36"/>
      <c r="I44" s="39"/>
      <c r="J44" s="39"/>
    </row>
    <row r="45" spans="1:17" x14ac:dyDescent="0.25">
      <c r="A45" s="59"/>
      <c r="B45" s="60" t="s">
        <v>54</v>
      </c>
      <c r="C45" s="39"/>
      <c r="D45" s="39"/>
      <c r="E45" s="39"/>
      <c r="F45" s="39"/>
      <c r="H45" s="36"/>
      <c r="I45" s="39"/>
      <c r="J45" s="39"/>
    </row>
    <row r="46" spans="1:17" x14ac:dyDescent="0.25">
      <c r="A46" s="59"/>
      <c r="B46" s="60" t="s">
        <v>45</v>
      </c>
      <c r="C46" s="39"/>
      <c r="D46" s="39"/>
      <c r="E46" s="39"/>
      <c r="F46" s="39"/>
      <c r="H46" s="36"/>
      <c r="I46" s="39"/>
      <c r="J46" s="39"/>
    </row>
    <row r="47" spans="1:17" ht="24.75" x14ac:dyDescent="0.25">
      <c r="B47" s="60"/>
      <c r="C47" s="39"/>
      <c r="D47" s="79" t="s">
        <v>25</v>
      </c>
      <c r="E47" s="80"/>
      <c r="F47" s="79" t="s">
        <v>40</v>
      </c>
      <c r="H47" s="79" t="s">
        <v>44</v>
      </c>
      <c r="I47" s="39"/>
      <c r="J47" s="39"/>
    </row>
    <row r="48" spans="1:17" x14ac:dyDescent="0.25">
      <c r="B48" s="61" t="s">
        <v>21</v>
      </c>
      <c r="C48" s="39"/>
      <c r="D48" s="62">
        <v>42653</v>
      </c>
      <c r="E48" s="62"/>
      <c r="F48" s="62">
        <f>D34</f>
        <v>48167.4</v>
      </c>
      <c r="H48" s="62">
        <f>F48-D48</f>
        <v>5514.4000000000015</v>
      </c>
      <c r="I48" s="39"/>
      <c r="J48" s="39"/>
    </row>
    <row r="49" spans="1:10" x14ac:dyDescent="0.25">
      <c r="B49" s="61" t="s">
        <v>27</v>
      </c>
      <c r="C49" s="39"/>
      <c r="D49" s="63">
        <v>8845</v>
      </c>
      <c r="E49" s="62"/>
      <c r="F49" s="63">
        <f>ROUND(((606680+(H48/2))*0.085+1)-71-F48,0)</f>
        <v>3565</v>
      </c>
      <c r="H49" s="63">
        <f>F49-D49</f>
        <v>-5280</v>
      </c>
      <c r="I49" s="39"/>
      <c r="J49" s="39"/>
    </row>
    <row r="50" spans="1:10" x14ac:dyDescent="0.25">
      <c r="B50" s="61" t="s">
        <v>43</v>
      </c>
      <c r="D50" s="62">
        <f>D48+D49</f>
        <v>51498</v>
      </c>
      <c r="E50" s="62"/>
      <c r="F50" s="62">
        <f>F48+F49</f>
        <v>51732.4</v>
      </c>
      <c r="H50" s="62">
        <f>F50-D50</f>
        <v>234.40000000000146</v>
      </c>
      <c r="I50" s="39"/>
      <c r="J50" s="39"/>
    </row>
    <row r="51" spans="1:10" x14ac:dyDescent="0.25">
      <c r="A51" s="59"/>
      <c r="B51" s="45"/>
      <c r="C51" s="20"/>
      <c r="D51" s="36"/>
      <c r="E51" s="36"/>
      <c r="F51" s="36"/>
      <c r="G51" s="37"/>
      <c r="H51" s="36"/>
      <c r="I51" s="39"/>
      <c r="J51" s="39"/>
    </row>
    <row r="52" spans="1:10" x14ac:dyDescent="0.25">
      <c r="A52" s="59"/>
      <c r="B52" s="45" t="s">
        <v>52</v>
      </c>
      <c r="C52" s="20"/>
      <c r="D52" s="36"/>
      <c r="E52" s="36"/>
      <c r="F52" s="36"/>
      <c r="G52" s="37"/>
      <c r="H52" s="36"/>
      <c r="I52" s="39"/>
      <c r="J52" s="39"/>
    </row>
    <row r="53" spans="1:10" x14ac:dyDescent="0.25">
      <c r="A53" s="24"/>
      <c r="B53" s="20"/>
      <c r="C53" s="20"/>
      <c r="D53" s="36"/>
      <c r="E53" s="36"/>
      <c r="F53" s="36"/>
      <c r="G53" s="37"/>
      <c r="H53" s="36"/>
      <c r="I53" s="39"/>
      <c r="J53" s="39"/>
    </row>
    <row r="54" spans="1:10" ht="15.75" x14ac:dyDescent="0.25">
      <c r="A54" s="20"/>
      <c r="B54" s="65" t="s">
        <v>28</v>
      </c>
      <c r="C54" s="66"/>
      <c r="D54" s="66"/>
      <c r="E54" s="65"/>
      <c r="F54" s="66"/>
      <c r="G54" s="67"/>
      <c r="H54" s="68" t="s">
        <v>35</v>
      </c>
    </row>
    <row r="55" spans="1:10" x14ac:dyDescent="0.25">
      <c r="B55" s="39"/>
      <c r="C55" s="39"/>
      <c r="D55" s="39"/>
      <c r="E55" s="39"/>
      <c r="F55" s="76"/>
    </row>
    <row r="56" spans="1:10" x14ac:dyDescent="0.25">
      <c r="B56" s="39"/>
      <c r="C56" s="39"/>
      <c r="D56" s="39"/>
      <c r="E56" s="39"/>
      <c r="F56" s="39"/>
    </row>
    <row r="57" spans="1:10" x14ac:dyDescent="0.25">
      <c r="B57" s="60"/>
      <c r="C57" s="39"/>
      <c r="D57" s="39"/>
      <c r="E57" s="39"/>
      <c r="F57" s="39"/>
    </row>
    <row r="58" spans="1:10" x14ac:dyDescent="0.25">
      <c r="B58" s="39"/>
      <c r="C58" s="39"/>
      <c r="D58" s="39"/>
      <c r="E58" s="39"/>
      <c r="F58" s="39"/>
    </row>
    <row r="59" spans="1:10" x14ac:dyDescent="0.25">
      <c r="B59" s="39"/>
      <c r="C59" s="39"/>
      <c r="D59" s="39"/>
      <c r="E59" s="39"/>
      <c r="F59" s="39"/>
    </row>
    <row r="63" spans="1:10" x14ac:dyDescent="0.25">
      <c r="D63" s="31"/>
      <c r="H63" s="31"/>
    </row>
  </sheetData>
  <mergeCells count="6">
    <mergeCell ref="B11:H11"/>
    <mergeCell ref="B5:H5"/>
    <mergeCell ref="B7:H7"/>
    <mergeCell ref="B8:H8"/>
    <mergeCell ref="B9:H9"/>
    <mergeCell ref="B10:H10"/>
  </mergeCells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2" ma:contentTypeDescription="Create a new document." ma:contentTypeScope="" ma:versionID="45cf80d653add96235b5c6e4e0a34ad0">
  <xsd:schema xmlns:xsd="http://www.w3.org/2001/XMLSchema" xmlns:xs="http://www.w3.org/2001/XMLSchema" xmlns:p="http://schemas.microsoft.com/office/2006/metadata/properties" xmlns:ns2="6f9ea703-ab45-4477-9266-642d01ff9fd5" targetNamespace="http://schemas.microsoft.com/office/2006/metadata/properties" ma:root="true" ma:fieldsID="7f282df01d199b562c722ee24e277f6e" ns2:_="">
    <xsd:import namespace="6f9ea703-ab45-4477-9266-642d01ff9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ea703-ab45-4477-9266-642d01ff9f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41A91A-69DB-4C5B-9E7B-C9D2751BD3FE}">
  <ds:schemaRefs>
    <ds:schemaRef ds:uri="http://schemas.microsoft.com/office/2006/documentManagement/types"/>
    <ds:schemaRef ds:uri="http://www.w3.org/XML/1998/namespace"/>
    <ds:schemaRef ds:uri="6f9ea703-ab45-4477-9266-642d01ff9fd5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DB5468-9D4E-4C90-9FB1-8C0E10F78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ea703-ab45-4477-9266-642d01ff9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8026FC-F50B-4ACD-B322-F6A4AD345D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+1% sales</vt:lpstr>
      <vt:lpstr>-1% sales</vt:lpstr>
      <vt:lpstr>+2% sales</vt:lpstr>
      <vt:lpstr>-2% sales</vt:lpstr>
      <vt:lpstr>-5% OPEX</vt:lpstr>
      <vt:lpstr>-10% OPEX</vt:lpstr>
      <vt:lpstr>'+1% sales'!Print_Area</vt:lpstr>
      <vt:lpstr>'+2% sales'!Print_Area</vt:lpstr>
      <vt:lpstr>'-1% sales'!Print_Area</vt:lpstr>
      <vt:lpstr>'-10% OPEX'!Print_Area</vt:lpstr>
      <vt:lpstr>'-2% sales'!Print_Area</vt:lpstr>
      <vt:lpstr>'-5% OPEX'!Print_Area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Mugford, Chantelle</dc:creator>
  <cp:lastModifiedBy>Mugford, Chantelle</cp:lastModifiedBy>
  <cp:lastPrinted>2024-01-23T14:06:07Z</cp:lastPrinted>
  <dcterms:created xsi:type="dcterms:W3CDTF">2024-01-18T19:12:20Z</dcterms:created>
  <dcterms:modified xsi:type="dcterms:W3CDTF">2024-01-24T12:20:03Z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